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0.1\admin\40_総務部共有\007_インボイス制度\10_インボイス対応当社指定請求書\02_インボイス対応指定請求書フォーマット\00_指定請求書フォーマット\"/>
    </mc:Choice>
  </mc:AlternateContent>
  <xr:revisionPtr revIDLastSave="0" documentId="13_ncr:1_{5A4192C6-F546-4A15-B595-35B2D4A81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Ｆ" sheetId="2" r:id="rId1"/>
    <sheet name="請求書Ｆ (2)" sheetId="4" state="hidden" r:id="rId2"/>
    <sheet name="支払計画" sheetId="3" r:id="rId3"/>
  </sheets>
  <externalReferences>
    <externalReference r:id="rId4"/>
  </externalReferences>
  <definedNames>
    <definedName name="_xlnm.Print_Area" localSheetId="2">支払計画!$A$1:$K$65</definedName>
    <definedName name="_xlnm.Print_Area" localSheetId="0">請求書Ｆ!$B$1:$K$48</definedName>
    <definedName name="_xlnm.Print_Area" localSheetId="1">'請求書Ｆ (2)'!$B$1:$K$46</definedName>
    <definedName name="あ">#REF!</definedName>
    <definedName name="ファクシミリ番号">#REF!</definedName>
    <definedName name="価格表1">#REF!</definedName>
    <definedName name="価格表2">#REF!</definedName>
    <definedName name="価格表21">#REF!</definedName>
    <definedName name="価格表22">#REF!</definedName>
    <definedName name="会社住所１">#REF!</definedName>
    <definedName name="会社住所２">#REF!</definedName>
    <definedName name="会社名">#REF!</definedName>
    <definedName name="見積書作成日">#REF!</definedName>
    <definedName name="見積書有効期限日">#REF!</definedName>
    <definedName name="見積条件１">#REF!</definedName>
    <definedName name="見積条件２">#REF!</definedName>
    <definedName name="見積条件３">#REF!</definedName>
    <definedName name="合計">#REF!</definedName>
    <definedName name="取引条件">#REF!</definedName>
    <definedName name="受注Ｃｄ">#REF!</definedName>
    <definedName name="消費税率">#REF!</definedName>
    <definedName name="数量">#REF!</definedName>
    <definedName name="請求書ＮＯ">#REF!</definedName>
    <definedName name="相手先名">#REF!</definedName>
    <definedName name="単価">#REF!</definedName>
    <definedName name="注文ＣＤ">#REF!</definedName>
    <definedName name="電話番号">#REF!</definedName>
    <definedName name="年度初日">#REF!</definedName>
    <definedName name="備品2">[1]本体価格表a!$B$9:$M$18</definedName>
    <definedName name="部名">#REF!</definedName>
    <definedName name="本体価格2a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9" i="2"/>
  <c r="J19" i="2"/>
  <c r="E8" i="2" l="1"/>
  <c r="K19" i="2"/>
  <c r="J27" i="2"/>
  <c r="J25" i="2"/>
  <c r="E32" i="2" l="1"/>
  <c r="I2" i="2"/>
  <c r="H15" i="2"/>
  <c r="J29" i="2"/>
  <c r="K43" i="2" l="1"/>
  <c r="J43" i="2"/>
  <c r="I25" i="2"/>
  <c r="B16" i="2" l="1"/>
  <c r="K41" i="2"/>
  <c r="I41" i="2"/>
  <c r="G41" i="2"/>
  <c r="G40" i="2"/>
  <c r="I40" i="2"/>
  <c r="K40" i="2"/>
  <c r="I18" i="2"/>
  <c r="G18" i="2"/>
  <c r="B17" i="2"/>
  <c r="F17" i="2" s="1"/>
  <c r="L4" i="3"/>
  <c r="F64" i="3"/>
  <c r="F66" i="3" s="1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L11" i="3" s="1"/>
  <c r="R10" i="3"/>
  <c r="R11" i="3"/>
  <c r="R12" i="3" s="1"/>
  <c r="R13" i="3" s="1"/>
  <c r="R14" i="3" s="1"/>
  <c r="K64" i="3"/>
  <c r="K66" i="3" s="1"/>
  <c r="B40" i="2" l="1"/>
  <c r="F16" i="2"/>
  <c r="F40" i="2" s="1"/>
  <c r="E17" i="2"/>
  <c r="E41" i="2" s="1"/>
  <c r="H17" i="2"/>
  <c r="H41" i="2" s="1"/>
  <c r="H40" i="2"/>
  <c r="C17" i="2"/>
  <c r="F41" i="2"/>
  <c r="B41" i="2"/>
  <c r="R15" i="3"/>
  <c r="R16" i="3" s="1"/>
  <c r="G64" i="4"/>
  <c r="K63" i="4"/>
  <c r="I44" i="4"/>
  <c r="I67" i="4" s="1"/>
  <c r="I68" i="4" s="1"/>
  <c r="E43" i="4"/>
  <c r="E66" i="4" s="1"/>
  <c r="C43" i="4"/>
  <c r="C66" i="4" s="1"/>
  <c r="E42" i="4"/>
  <c r="E65" i="4" s="1"/>
  <c r="C42" i="4"/>
  <c r="C65" i="4" s="1"/>
  <c r="I41" i="4"/>
  <c r="I64" i="4" s="1"/>
  <c r="G41" i="4"/>
  <c r="C41" i="4"/>
  <c r="C64" i="4" s="1"/>
  <c r="K40" i="4"/>
  <c r="K39" i="4"/>
  <c r="K62" i="4" s="1"/>
  <c r="I39" i="4"/>
  <c r="I62" i="4" s="1"/>
  <c r="G39" i="4"/>
  <c r="G62" i="4" s="1"/>
  <c r="K38" i="4"/>
  <c r="K61" i="4" s="1"/>
  <c r="I38" i="4"/>
  <c r="I61" i="4" s="1"/>
  <c r="G38" i="4"/>
  <c r="G61" i="4" s="1"/>
  <c r="K37" i="4"/>
  <c r="K60" i="4" s="1"/>
  <c r="I37" i="4"/>
  <c r="I60" i="4" s="1"/>
  <c r="G37" i="4"/>
  <c r="G60" i="4" s="1"/>
  <c r="K36" i="4"/>
  <c r="K59" i="4" s="1"/>
  <c r="I36" i="4"/>
  <c r="I59" i="4" s="1"/>
  <c r="G36" i="4"/>
  <c r="G59" i="4" s="1"/>
  <c r="K35" i="4"/>
  <c r="K58" i="4" s="1"/>
  <c r="I35" i="4"/>
  <c r="I58" i="4" s="1"/>
  <c r="G35" i="4"/>
  <c r="G58" i="4" s="1"/>
  <c r="J31" i="4"/>
  <c r="J30" i="4"/>
  <c r="J53" i="4" s="1"/>
  <c r="J29" i="4"/>
  <c r="J52" i="4" s="1"/>
  <c r="J28" i="4"/>
  <c r="J51" i="4" s="1"/>
  <c r="J26" i="4"/>
  <c r="J49" i="4" s="1"/>
  <c r="K25" i="4"/>
  <c r="K48" i="4" s="1"/>
  <c r="K24" i="4"/>
  <c r="I22" i="4"/>
  <c r="I17" i="4"/>
  <c r="I40" i="4" s="1"/>
  <c r="I63" i="4" s="1"/>
  <c r="G17" i="4"/>
  <c r="G40" i="4" s="1"/>
  <c r="G63" i="4" s="1"/>
  <c r="B16" i="4"/>
  <c r="B39" i="4" s="1"/>
  <c r="B62" i="4" s="1"/>
  <c r="B15" i="4"/>
  <c r="B14" i="4"/>
  <c r="B37" i="4" s="1"/>
  <c r="B60" i="4" s="1"/>
  <c r="B13" i="4"/>
  <c r="H13" i="4" s="1"/>
  <c r="H36" i="4" s="1"/>
  <c r="H59" i="4" s="1"/>
  <c r="B12" i="4"/>
  <c r="B35" i="4" s="1"/>
  <c r="B58" i="4" s="1"/>
  <c r="C9" i="4"/>
  <c r="C32" i="4" s="1"/>
  <c r="C55" i="4" s="1"/>
  <c r="C8" i="4"/>
  <c r="C31" i="4" s="1"/>
  <c r="C54" i="4" s="1"/>
  <c r="C7" i="4"/>
  <c r="C30" i="4" s="1"/>
  <c r="C53" i="4" s="1"/>
  <c r="I45" i="4" l="1"/>
  <c r="J17" i="2"/>
  <c r="J41" i="2" s="1"/>
  <c r="C41" i="2"/>
  <c r="D17" i="2"/>
  <c r="D41" i="2" s="1"/>
  <c r="R17" i="3"/>
  <c r="R18" i="3" s="1"/>
  <c r="R19" i="3" s="1"/>
  <c r="R20" i="3" s="1"/>
  <c r="R21" i="3" s="1"/>
  <c r="R22" i="3" s="1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R39" i="3" s="1"/>
  <c r="R40" i="3" s="1"/>
  <c r="R41" i="3" s="1"/>
  <c r="R42" i="3" s="1"/>
  <c r="R43" i="3" s="1"/>
  <c r="R44" i="3" s="1"/>
  <c r="R45" i="3" s="1"/>
  <c r="R46" i="3" s="1"/>
  <c r="R47" i="3" s="1"/>
  <c r="R48" i="3" s="1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H15" i="4"/>
  <c r="H38" i="4" s="1"/>
  <c r="H61" i="4" s="1"/>
  <c r="H14" i="4"/>
  <c r="H37" i="4" s="1"/>
  <c r="H60" i="4" s="1"/>
  <c r="B36" i="4"/>
  <c r="B59" i="4" s="1"/>
  <c r="B38" i="4"/>
  <c r="B61" i="4" s="1"/>
  <c r="H12" i="4"/>
  <c r="H16" i="4"/>
  <c r="H39" i="4" s="1"/>
  <c r="H62" i="4" s="1"/>
  <c r="K25" i="2"/>
  <c r="R64" i="3" l="1"/>
  <c r="H17" i="4"/>
  <c r="H35" i="4"/>
  <c r="H58" i="4" s="1"/>
  <c r="J32" i="2"/>
  <c r="G12" i="3"/>
  <c r="E12" i="3" s="1"/>
  <c r="H40" i="4" l="1"/>
  <c r="H63" i="4" s="1"/>
  <c r="H18" i="4"/>
  <c r="H41" i="4" s="1"/>
  <c r="H64" i="4" s="1"/>
  <c r="Q10" i="3"/>
  <c r="P10" i="3"/>
  <c r="O10" i="3"/>
  <c r="N10" i="3"/>
  <c r="M10" i="3"/>
  <c r="H19" i="4" l="1"/>
  <c r="H42" i="4" s="1"/>
  <c r="H65" i="4" s="1"/>
  <c r="Q11" i="3" l="1"/>
  <c r="E16" i="2" s="1"/>
  <c r="E40" i="2" s="1"/>
  <c r="P11" i="3"/>
  <c r="P12" i="3" s="1"/>
  <c r="P13" i="3" s="1"/>
  <c r="P14" i="3" s="1"/>
  <c r="P15" i="3" s="1"/>
  <c r="P16" i="3" s="1"/>
  <c r="O11" i="3"/>
  <c r="N11" i="3"/>
  <c r="M11" i="3"/>
  <c r="M12" i="3" s="1"/>
  <c r="J64" i="3"/>
  <c r="I64" i="3"/>
  <c r="H64" i="3"/>
  <c r="G64" i="3"/>
  <c r="C12" i="4"/>
  <c r="B15" i="2"/>
  <c r="F15" i="2" s="1"/>
  <c r="B14" i="2"/>
  <c r="F14" i="2" s="1"/>
  <c r="B13" i="2"/>
  <c r="F13" i="2" s="1"/>
  <c r="C13" i="4" l="1"/>
  <c r="C36" i="4" s="1"/>
  <c r="C59" i="4" s="1"/>
  <c r="G66" i="3"/>
  <c r="I66" i="3"/>
  <c r="C15" i="4"/>
  <c r="H14" i="2"/>
  <c r="E14" i="2"/>
  <c r="H39" i="2"/>
  <c r="E15" i="2"/>
  <c r="C15" i="2"/>
  <c r="C13" i="2"/>
  <c r="H13" i="2"/>
  <c r="E13" i="2"/>
  <c r="J66" i="3"/>
  <c r="C16" i="2"/>
  <c r="C16" i="4"/>
  <c r="C14" i="4"/>
  <c r="H66" i="3"/>
  <c r="C14" i="2"/>
  <c r="P17" i="3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C35" i="4"/>
  <c r="C58" i="4" s="1"/>
  <c r="O12" i="3"/>
  <c r="N12" i="3"/>
  <c r="Q12" i="3"/>
  <c r="B12" i="2"/>
  <c r="F12" i="2" s="1"/>
  <c r="C9" i="2"/>
  <c r="C8" i="2"/>
  <c r="C7" i="2"/>
  <c r="D12" i="3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P28" i="3" l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40" i="3" s="1"/>
  <c r="P41" i="3" s="1"/>
  <c r="P42" i="3" s="1"/>
  <c r="P43" i="3" s="1"/>
  <c r="P44" i="3" s="1"/>
  <c r="P45" i="3" s="1"/>
  <c r="P46" i="3" s="1"/>
  <c r="P47" i="3" s="1"/>
  <c r="P48" i="3" s="1"/>
  <c r="P49" i="3" s="1"/>
  <c r="P50" i="3" s="1"/>
  <c r="P51" i="3" s="1"/>
  <c r="P52" i="3" s="1"/>
  <c r="P53" i="3" s="1"/>
  <c r="P54" i="3" s="1"/>
  <c r="P55" i="3" s="1"/>
  <c r="P56" i="3" s="1"/>
  <c r="P57" i="3" s="1"/>
  <c r="P58" i="3" s="1"/>
  <c r="P59" i="3" s="1"/>
  <c r="P60" i="3" s="1"/>
  <c r="P61" i="3" s="1"/>
  <c r="P62" i="3" s="1"/>
  <c r="E16" i="4"/>
  <c r="E39" i="4" s="1"/>
  <c r="E62" i="4" s="1"/>
  <c r="C38" i="4"/>
  <c r="C61" i="4" s="1"/>
  <c r="J15" i="2"/>
  <c r="F18" i="2"/>
  <c r="H12" i="2"/>
  <c r="E12" i="2"/>
  <c r="E18" i="2" s="1"/>
  <c r="C12" i="2"/>
  <c r="J13" i="2"/>
  <c r="C17" i="4"/>
  <c r="C40" i="4" s="1"/>
  <c r="C63" i="4" s="1"/>
  <c r="C39" i="4"/>
  <c r="C62" i="4" s="1"/>
  <c r="J16" i="2"/>
  <c r="J40" i="2" s="1"/>
  <c r="C40" i="2"/>
  <c r="D16" i="2"/>
  <c r="D40" i="2" s="1"/>
  <c r="C37" i="4"/>
  <c r="C60" i="4" s="1"/>
  <c r="J14" i="2"/>
  <c r="D15" i="2"/>
  <c r="P64" i="3"/>
  <c r="D28" i="3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I2" i="4"/>
  <c r="I25" i="4" s="1"/>
  <c r="I48" i="4" s="1"/>
  <c r="L12" i="3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Q13" i="3"/>
  <c r="Q14" i="3" s="1"/>
  <c r="Q15" i="3" s="1"/>
  <c r="Q16" i="3" s="1"/>
  <c r="N13" i="3"/>
  <c r="N14" i="3" s="1"/>
  <c r="N15" i="3" s="1"/>
  <c r="N16" i="3" s="1"/>
  <c r="N17" i="3" s="1"/>
  <c r="N18" i="3" s="1"/>
  <c r="N19" i="3" s="1"/>
  <c r="N20" i="3" s="1"/>
  <c r="N21" i="3" s="1"/>
  <c r="O13" i="3"/>
  <c r="O14" i="3" s="1"/>
  <c r="O15" i="3" s="1"/>
  <c r="M13" i="3"/>
  <c r="E64" i="3"/>
  <c r="G66" i="2"/>
  <c r="G43" i="2"/>
  <c r="C18" i="2" l="1"/>
  <c r="J12" i="2"/>
  <c r="H18" i="2"/>
  <c r="H43" i="2" s="1"/>
  <c r="H36" i="2"/>
  <c r="H60" i="2" s="1"/>
  <c r="J16" i="4"/>
  <c r="J39" i="4" s="1"/>
  <c r="J62" i="4" s="1"/>
  <c r="D16" i="4"/>
  <c r="D39" i="4" s="1"/>
  <c r="D62" i="4" s="1"/>
  <c r="E36" i="2"/>
  <c r="O18" i="2"/>
  <c r="F16" i="4"/>
  <c r="F39" i="4" s="1"/>
  <c r="F62" i="4" s="1"/>
  <c r="E6" i="3"/>
  <c r="E66" i="3"/>
  <c r="Q17" i="3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F36" i="2"/>
  <c r="F60" i="2" s="1"/>
  <c r="L27" i="3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L42" i="3" s="1"/>
  <c r="L43" i="3" s="1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F12" i="4"/>
  <c r="F35" i="4" s="1"/>
  <c r="F58" i="4" s="1"/>
  <c r="F13" i="4"/>
  <c r="F36" i="4" s="1"/>
  <c r="F59" i="4" s="1"/>
  <c r="D12" i="2"/>
  <c r="N22" i="3"/>
  <c r="M14" i="3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O16" i="3"/>
  <c r="I43" i="2"/>
  <c r="I66" i="2" s="1"/>
  <c r="C45" i="2"/>
  <c r="C68" i="2" s="1"/>
  <c r="E45" i="2"/>
  <c r="E68" i="2" s="1"/>
  <c r="E44" i="2"/>
  <c r="E67" i="2" s="1"/>
  <c r="C44" i="2"/>
  <c r="C67" i="2" s="1"/>
  <c r="C43" i="2"/>
  <c r="C66" i="2" s="1"/>
  <c r="J31" i="2"/>
  <c r="J55" i="2" s="1"/>
  <c r="J30" i="2"/>
  <c r="J54" i="2" s="1"/>
  <c r="J53" i="2"/>
  <c r="J51" i="2"/>
  <c r="K26" i="2"/>
  <c r="K50" i="2" s="1"/>
  <c r="I46" i="2"/>
  <c r="I47" i="2" s="1"/>
  <c r="K42" i="2"/>
  <c r="K65" i="2" s="1"/>
  <c r="K64" i="2"/>
  <c r="K39" i="2"/>
  <c r="K63" i="2" s="1"/>
  <c r="K38" i="2"/>
  <c r="K62" i="2" s="1"/>
  <c r="K37" i="2"/>
  <c r="K61" i="2" s="1"/>
  <c r="K36" i="2"/>
  <c r="K60" i="2" s="1"/>
  <c r="I64" i="2"/>
  <c r="H64" i="2"/>
  <c r="G64" i="2"/>
  <c r="F64" i="2"/>
  <c r="I39" i="2"/>
  <c r="I63" i="2" s="1"/>
  <c r="H63" i="2"/>
  <c r="G39" i="2"/>
  <c r="G63" i="2" s="1"/>
  <c r="F39" i="2"/>
  <c r="F63" i="2" s="1"/>
  <c r="I38" i="2"/>
  <c r="I62" i="2" s="1"/>
  <c r="H38" i="2"/>
  <c r="H62" i="2" s="1"/>
  <c r="G38" i="2"/>
  <c r="G62" i="2" s="1"/>
  <c r="I37" i="2"/>
  <c r="I61" i="2" s="1"/>
  <c r="H37" i="2"/>
  <c r="H61" i="2" s="1"/>
  <c r="G37" i="2"/>
  <c r="G61" i="2" s="1"/>
  <c r="I36" i="2"/>
  <c r="I60" i="2" s="1"/>
  <c r="G36" i="2"/>
  <c r="G60" i="2" s="1"/>
  <c r="C64" i="2"/>
  <c r="B64" i="2"/>
  <c r="C39" i="2"/>
  <c r="C63" i="2" s="1"/>
  <c r="B39" i="2"/>
  <c r="B63" i="2" s="1"/>
  <c r="C38" i="2"/>
  <c r="C62" i="2" s="1"/>
  <c r="B38" i="2"/>
  <c r="B62" i="2" s="1"/>
  <c r="C37" i="2"/>
  <c r="C61" i="2" s="1"/>
  <c r="B37" i="2"/>
  <c r="B61" i="2" s="1"/>
  <c r="C36" i="2"/>
  <c r="B36" i="2"/>
  <c r="B60" i="2" s="1"/>
  <c r="I26" i="2"/>
  <c r="I50" i="2" s="1"/>
  <c r="C33" i="2"/>
  <c r="C57" i="2" s="1"/>
  <c r="C32" i="2"/>
  <c r="C56" i="2" s="1"/>
  <c r="C31" i="2"/>
  <c r="C55" i="2" s="1"/>
  <c r="C60" i="2" l="1"/>
  <c r="D18" i="2"/>
  <c r="Q64" i="3"/>
  <c r="L64" i="3"/>
  <c r="M28" i="3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E12" i="4"/>
  <c r="N23" i="3"/>
  <c r="F37" i="2"/>
  <c r="F61" i="2" s="1"/>
  <c r="O17" i="3"/>
  <c r="O18" i="3" s="1"/>
  <c r="O19" i="3" s="1"/>
  <c r="O20" i="3" s="1"/>
  <c r="O21" i="3" s="1"/>
  <c r="O22" i="3" s="1"/>
  <c r="E60" i="2"/>
  <c r="I69" i="2"/>
  <c r="I70" i="2" s="1"/>
  <c r="G42" i="2"/>
  <c r="G65" i="2" s="1"/>
  <c r="I42" i="2"/>
  <c r="I65" i="2" s="1"/>
  <c r="E64" i="2"/>
  <c r="E39" i="2"/>
  <c r="E63" i="2" s="1"/>
  <c r="D36" i="2"/>
  <c r="D60" i="2" s="1"/>
  <c r="M61" i="3" l="1"/>
  <c r="M62" i="3" s="1"/>
  <c r="M64" i="3"/>
  <c r="E35" i="4"/>
  <c r="E58" i="4" s="1"/>
  <c r="J12" i="4"/>
  <c r="J35" i="4" s="1"/>
  <c r="J58" i="4" s="1"/>
  <c r="D12" i="4"/>
  <c r="D35" i="4" s="1"/>
  <c r="D58" i="4" s="1"/>
  <c r="O23" i="3"/>
  <c r="N24" i="3"/>
  <c r="C42" i="2"/>
  <c r="D64" i="2"/>
  <c r="J64" i="2"/>
  <c r="D39" i="2"/>
  <c r="D63" i="2" s="1"/>
  <c r="J39" i="2"/>
  <c r="J63" i="2" s="1"/>
  <c r="H66" i="2"/>
  <c r="H42" i="2"/>
  <c r="H65" i="2" s="1"/>
  <c r="J36" i="2"/>
  <c r="I23" i="2"/>
  <c r="C65" i="2" l="1"/>
  <c r="J60" i="2"/>
  <c r="F38" i="2"/>
  <c r="F42" i="2"/>
  <c r="F65" i="2" s="1"/>
  <c r="O24" i="3"/>
  <c r="D13" i="2"/>
  <c r="D37" i="2" s="1"/>
  <c r="D61" i="2" s="1"/>
  <c r="E37" i="2"/>
  <c r="E61" i="2" s="1"/>
  <c r="N25" i="3"/>
  <c r="N26" i="3" s="1"/>
  <c r="H20" i="2"/>
  <c r="H44" i="2" s="1"/>
  <c r="H67" i="2" s="1"/>
  <c r="F62" i="2" l="1"/>
  <c r="J37" i="2"/>
  <c r="J18" i="2"/>
  <c r="N27" i="3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4" i="3" s="1"/>
  <c r="F14" i="4"/>
  <c r="E13" i="4"/>
  <c r="D14" i="2"/>
  <c r="D38" i="2" s="1"/>
  <c r="D62" i="2" s="1"/>
  <c r="E38" i="2"/>
  <c r="E62" i="2" s="1"/>
  <c r="J38" i="2"/>
  <c r="J62" i="2" s="1"/>
  <c r="O25" i="3"/>
  <c r="O26" i="3" s="1"/>
  <c r="O27" i="3" l="1"/>
  <c r="E15" i="4" s="1"/>
  <c r="F15" i="4"/>
  <c r="F38" i="4" s="1"/>
  <c r="F61" i="4" s="1"/>
  <c r="M18" i="2"/>
  <c r="N18" i="2"/>
  <c r="O42" i="2"/>
  <c r="J61" i="2"/>
  <c r="D42" i="2"/>
  <c r="D65" i="2" s="1"/>
  <c r="E42" i="2"/>
  <c r="F37" i="4"/>
  <c r="F60" i="4" s="1"/>
  <c r="J42" i="2"/>
  <c r="J65" i="2" s="1"/>
  <c r="E36" i="4"/>
  <c r="E59" i="4" s="1"/>
  <c r="D13" i="4"/>
  <c r="D36" i="4" s="1"/>
  <c r="D59" i="4" s="1"/>
  <c r="J13" i="4"/>
  <c r="J36" i="4" s="1"/>
  <c r="J59" i="4" s="1"/>
  <c r="O28" i="3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E14" i="4"/>
  <c r="F17" i="4" l="1"/>
  <c r="E17" i="4" s="1"/>
  <c r="E38" i="4"/>
  <c r="E61" i="4" s="1"/>
  <c r="J15" i="4"/>
  <c r="J38" i="4" s="1"/>
  <c r="J61" i="4" s="1"/>
  <c r="D15" i="4"/>
  <c r="D38" i="4" s="1"/>
  <c r="D61" i="4" s="1"/>
  <c r="E65" i="2"/>
  <c r="N42" i="2"/>
  <c r="M42" i="2"/>
  <c r="O61" i="3"/>
  <c r="O62" i="3" s="1"/>
  <c r="E37" i="4"/>
  <c r="E60" i="4" s="1"/>
  <c r="J14" i="4"/>
  <c r="J37" i="4" s="1"/>
  <c r="J60" i="4" s="1"/>
  <c r="D14" i="4"/>
  <c r="D37" i="4" s="1"/>
  <c r="D60" i="4" s="1"/>
  <c r="F40" i="4" l="1"/>
  <c r="F63" i="4" s="1"/>
  <c r="O64" i="3"/>
  <c r="E40" i="4"/>
  <c r="E63" i="4" s="1"/>
  <c r="J17" i="4"/>
  <c r="J40" i="4" s="1"/>
  <c r="J63" i="4" s="1"/>
  <c r="D17" i="4"/>
  <c r="D40" i="4" s="1"/>
  <c r="D6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</author>
  </authors>
  <commentList>
    <comment ref="K2" authorId="0" shapeId="0" xr:uid="{F49A5920-53C5-4055-BA64-1165CC62D6FF}">
      <text>
        <r>
          <rPr>
            <b/>
            <sz val="9"/>
            <color indexed="81"/>
            <rFont val="MS P ゴシック"/>
            <family val="3"/>
            <charset val="128"/>
          </rPr>
          <t>今回の請求回数を入力してください。
請求回数を入力すると自動的に対象の請求が表示されます。</t>
        </r>
      </text>
    </comment>
    <comment ref="J5" authorId="0" shapeId="0" xr:uid="{22030BA9-6231-4BF3-886E-2869FF965ED0}">
      <text>
        <r>
          <rPr>
            <b/>
            <sz val="9"/>
            <color indexed="81"/>
            <rFont val="MS P ゴシック"/>
            <family val="3"/>
            <charset val="128"/>
          </rPr>
          <t>住所・会社名等を入力してください。</t>
        </r>
      </text>
    </comment>
    <comment ref="C19" authorId="0" shapeId="0" xr:uid="{999A1090-DEAA-4FA2-AA0E-DB50B999C5BB}">
      <text>
        <r>
          <rPr>
            <b/>
            <sz val="9"/>
            <color indexed="81"/>
            <rFont val="MS P ゴシック"/>
            <family val="3"/>
            <charset val="128"/>
          </rPr>
          <t>振込口座情報を入力してください。</t>
        </r>
      </text>
    </comment>
    <comment ref="I22" authorId="0" shapeId="0" xr:uid="{13B3C8CE-DA0F-43BD-A3CC-7EC42FBC681C}">
      <text>
        <r>
          <rPr>
            <b/>
            <sz val="9"/>
            <color indexed="81"/>
            <rFont val="MS P ゴシック"/>
            <family val="3"/>
            <charset val="128"/>
          </rPr>
          <t>支払条件を入力してください。
Ｂは自動的に計算されます。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</author>
  </authors>
  <commentList>
    <comment ref="K2" authorId="0" shapeId="0" xr:uid="{1FAD329E-FCC6-4EC5-8A94-07F84FD15018}">
      <text>
        <r>
          <rPr>
            <b/>
            <sz val="9"/>
            <color indexed="81"/>
            <rFont val="MS P ゴシック"/>
            <family val="3"/>
            <charset val="128"/>
          </rPr>
          <t>今回の請求回数を入力してください。
請求回数を入力すると自動的に対象の請求が表示されます。</t>
        </r>
      </text>
    </comment>
    <comment ref="J5" authorId="0" shapeId="0" xr:uid="{D11D4566-4953-435B-8FC5-014F8B527567}">
      <text>
        <r>
          <rPr>
            <b/>
            <sz val="9"/>
            <color indexed="81"/>
            <rFont val="MS P ゴシック"/>
            <family val="3"/>
            <charset val="128"/>
          </rPr>
          <t>住所・会社名等を入力してください。</t>
        </r>
      </text>
    </comment>
    <comment ref="C18" authorId="0" shapeId="0" xr:uid="{9E17F7C8-BBAB-4467-BCF1-4D466543866A}">
      <text>
        <r>
          <rPr>
            <b/>
            <sz val="9"/>
            <color indexed="81"/>
            <rFont val="MS P ゴシック"/>
            <family val="3"/>
            <charset val="128"/>
          </rPr>
          <t>振込口座情報を入力してください。</t>
        </r>
      </text>
    </comment>
    <comment ref="G18" authorId="0" shapeId="0" xr:uid="{A65CF3E9-B6CF-4411-9753-E20CA4BD6379}">
      <text>
        <r>
          <rPr>
            <b/>
            <sz val="9"/>
            <color indexed="81"/>
            <rFont val="MS P ゴシック"/>
            <family val="3"/>
            <charset val="128"/>
          </rPr>
          <t>消費税率を選択してください。</t>
        </r>
      </text>
    </comment>
    <comment ref="I21" authorId="0" shapeId="0" xr:uid="{36B1BD96-5A97-4F83-ADA7-174BDD1D1AEA}">
      <text>
        <r>
          <rPr>
            <b/>
            <sz val="9"/>
            <color indexed="81"/>
            <rFont val="MS P ゴシック"/>
            <family val="3"/>
            <charset val="128"/>
          </rPr>
          <t>支払条件を入力してください。
Ｂは自動的に計算されます。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</author>
  </authors>
  <commentList>
    <comment ref="E2" authorId="0" shapeId="0" xr:uid="{9CC57BC9-7EC0-4F8D-B886-CC29CAC62239}">
      <text>
        <r>
          <rPr>
            <b/>
            <sz val="9"/>
            <color indexed="81"/>
            <rFont val="MS P ゴシック"/>
            <family val="3"/>
            <charset val="128"/>
          </rPr>
          <t>註文番号を入力してください。</t>
        </r>
      </text>
    </comment>
    <comment ref="E3" authorId="0" shapeId="0" xr:uid="{95CAD6D1-BEEA-44A2-AF06-5595CC7F2668}">
      <text>
        <r>
          <rPr>
            <b/>
            <sz val="9"/>
            <color indexed="81"/>
            <rFont val="MS P ゴシック"/>
            <family val="3"/>
            <charset val="128"/>
          </rPr>
          <t>工事ＣＤを入力してください。</t>
        </r>
      </text>
    </comment>
    <comment ref="E4" authorId="0" shapeId="0" xr:uid="{59AD81B7-A91C-4B41-BCD3-FDE539F67AFC}">
      <text>
        <r>
          <rPr>
            <b/>
            <sz val="9"/>
            <color indexed="81"/>
            <rFont val="MS P ゴシック"/>
            <family val="3"/>
            <charset val="128"/>
          </rPr>
          <t>現場名を入力してください。
5文字以上30文字以内</t>
        </r>
      </text>
    </comment>
    <comment ref="E5" authorId="0" shapeId="0" xr:uid="{DD22F511-2CC3-4EF5-91EE-0F326C1D7CDE}">
      <text>
        <r>
          <rPr>
            <b/>
            <sz val="9"/>
            <color indexed="81"/>
            <rFont val="MS P ゴシック"/>
            <family val="3"/>
            <charset val="128"/>
          </rPr>
          <t>着工日を入力してください。</t>
        </r>
      </text>
    </comment>
    <comment ref="F5" authorId="0" shapeId="0" xr:uid="{F3A882BA-31AE-4652-AE84-D684C019CD9C}">
      <text>
        <r>
          <rPr>
            <b/>
            <sz val="9"/>
            <color indexed="81"/>
            <rFont val="MS P ゴシック"/>
            <family val="3"/>
            <charset val="128"/>
          </rPr>
          <t>完了予定日を入力してください。</t>
        </r>
      </text>
    </comment>
    <comment ref="F10" authorId="0" shapeId="0" xr:uid="{74B9C3AF-8956-4E76-B665-C8D2891D148B}">
      <text>
        <r>
          <rPr>
            <b/>
            <sz val="9"/>
            <color indexed="81"/>
            <rFont val="MS P ゴシック"/>
            <family val="3"/>
            <charset val="128"/>
          </rPr>
          <t>工事区分を入力してください。</t>
        </r>
      </text>
    </comment>
    <comment ref="I10" authorId="0" shapeId="0" xr:uid="{675EE890-1ADE-4FD2-B494-21FE0925342D}">
      <text>
        <r>
          <rPr>
            <b/>
            <sz val="9"/>
            <color indexed="81"/>
            <rFont val="MS P ゴシック"/>
            <family val="3"/>
            <charset val="128"/>
          </rPr>
          <t>工事区分がない場合は空欄にしてください。</t>
        </r>
      </text>
    </comment>
    <comment ref="D11" authorId="0" shapeId="0" xr:uid="{3053D4CB-C5D7-4514-8907-94BCD5ED75DA}">
      <text>
        <r>
          <rPr>
            <b/>
            <sz val="9"/>
            <color indexed="81"/>
            <rFont val="MS P ゴシック"/>
            <family val="3"/>
            <charset val="128"/>
          </rPr>
          <t>請求月を入力してください。
翌月は、自動的に日付が変わります。</t>
        </r>
      </text>
    </comment>
  </commentList>
</comments>
</file>

<file path=xl/sharedStrings.xml><?xml version="1.0" encoding="utf-8"?>
<sst xmlns="http://schemas.openxmlformats.org/spreadsheetml/2006/main" count="254" uniqueCount="81">
  <si>
    <t>Sample</t>
    <phoneticPr fontId="2"/>
  </si>
  <si>
    <r>
      <rPr>
        <sz val="11"/>
        <color theme="1"/>
        <rFont val="ＭＳ Ｐゴシック"/>
        <family val="2"/>
        <charset val="128"/>
      </rPr>
      <t>請求者</t>
    </r>
    <rPh sb="0" eb="3">
      <t>セイキュウシャ</t>
    </rPh>
    <phoneticPr fontId="2"/>
  </si>
  <si>
    <r>
      <rPr>
        <sz val="11"/>
        <color theme="1"/>
        <rFont val="ＭＳ Ｐゴシック"/>
        <family val="2"/>
        <charset val="128"/>
      </rPr>
      <t>　　　〒</t>
    </r>
    <phoneticPr fontId="2"/>
  </si>
  <si>
    <r>
      <rPr>
        <sz val="14"/>
        <color theme="1"/>
        <rFont val="ＭＳ Ｐゴシック"/>
        <family val="3"/>
        <charset val="128"/>
      </rPr>
      <t>　株式会社　竹　徳　</t>
    </r>
    <r>
      <rPr>
        <sz val="11"/>
        <color theme="1"/>
        <rFont val="ＭＳ Ｐゴシック"/>
        <family val="2"/>
        <charset val="128"/>
      </rPr>
      <t>　御中</t>
    </r>
    <rPh sb="1" eb="3">
      <t>カブシキ</t>
    </rPh>
    <rPh sb="3" eb="5">
      <t>カイシャ</t>
    </rPh>
    <rPh sb="6" eb="7">
      <t>タケ</t>
    </rPh>
    <rPh sb="8" eb="9">
      <t>トク</t>
    </rPh>
    <rPh sb="11" eb="13">
      <t>オンチュウ</t>
    </rPh>
    <phoneticPr fontId="2"/>
  </si>
  <si>
    <r>
      <rPr>
        <sz val="11"/>
        <color theme="1"/>
        <rFont val="ＭＳ Ｐゴシック"/>
        <family val="2"/>
        <charset val="128"/>
      </rPr>
      <t>住所</t>
    </r>
  </si>
  <si>
    <r>
      <rPr>
        <sz val="11"/>
        <color theme="1"/>
        <rFont val="ＭＳ Ｐゴシック"/>
        <family val="2"/>
        <charset val="128"/>
      </rPr>
      <t>注文番号</t>
    </r>
    <rPh sb="0" eb="2">
      <t>チュウモン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</si>
  <si>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氏名</t>
    </r>
    <rPh sb="0" eb="2">
      <t>シメイ</t>
    </rPh>
    <phoneticPr fontId="2"/>
  </si>
  <si>
    <r>
      <rPr>
        <sz val="11"/>
        <color theme="1"/>
        <rFont val="ＭＳ Ｐゴシック"/>
        <family val="2"/>
        <charset val="128"/>
      </rPr>
      <t>工事ＣＤ</t>
    </r>
    <rPh sb="0" eb="2">
      <t>コウジ</t>
    </rPh>
    <phoneticPr fontId="2"/>
  </si>
  <si>
    <r>
      <rPr>
        <sz val="11"/>
        <color theme="1"/>
        <rFont val="ＭＳ Ｐゴシック"/>
        <family val="2"/>
        <charset val="128"/>
      </rPr>
      <t>工事名称</t>
    </r>
    <rPh sb="0" eb="2">
      <t>コウジ</t>
    </rPh>
    <rPh sb="2" eb="4">
      <t>メイショウ</t>
    </rPh>
    <phoneticPr fontId="2"/>
  </si>
  <si>
    <r>
      <rPr>
        <sz val="11"/>
        <color theme="1"/>
        <rFont val="ＭＳ Ｐゴシック"/>
        <family val="2"/>
        <charset val="128"/>
      </rPr>
      <t>工事区分</t>
    </r>
    <rPh sb="0" eb="2">
      <t>コウジ</t>
    </rPh>
    <rPh sb="2" eb="4">
      <t>クブン</t>
    </rPh>
    <phoneticPr fontId="2"/>
  </si>
  <si>
    <r>
      <rPr>
        <sz val="11"/>
        <color theme="1"/>
        <rFont val="ＭＳ Ｐゴシック"/>
        <family val="2"/>
        <charset val="128"/>
      </rPr>
      <t>契約金額
（税抜価格）</t>
    </r>
    <rPh sb="0" eb="2">
      <t>ケイヤク</t>
    </rPh>
    <rPh sb="2" eb="4">
      <t>キンガク</t>
    </rPh>
    <rPh sb="6" eb="7">
      <t>ゼイ</t>
    </rPh>
    <rPh sb="7" eb="8">
      <t>ヌ</t>
    </rPh>
    <rPh sb="8" eb="10">
      <t>カカク</t>
    </rPh>
    <phoneticPr fontId="2"/>
  </si>
  <si>
    <r>
      <rPr>
        <sz val="11"/>
        <color theme="1"/>
        <rFont val="ＭＳ Ｐゴシック"/>
        <family val="2"/>
        <charset val="128"/>
      </rPr>
      <t>今回迄の出来高</t>
    </r>
    <rPh sb="0" eb="2">
      <t>コンカイ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</si>
  <si>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前回迄の出来高</t>
    </r>
    <rPh sb="0" eb="2">
      <t>ゼンカイ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</si>
  <si>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</si>
  <si>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r>
      <rPr>
        <sz val="11"/>
        <color theme="1"/>
        <rFont val="ＭＳ Ｐゴシック"/>
        <family val="2"/>
        <charset val="128"/>
      </rPr>
      <t>契約残高</t>
    </r>
    <rPh sb="0" eb="2">
      <t>ケイヤク</t>
    </rPh>
    <rPh sb="2" eb="4">
      <t>ザンダカ</t>
    </rPh>
    <phoneticPr fontId="2"/>
  </si>
  <si>
    <r>
      <rPr>
        <sz val="11"/>
        <color theme="1"/>
        <rFont val="ＭＳ Ｐゴシック"/>
        <family val="2"/>
        <charset val="128"/>
      </rPr>
      <t>備考</t>
    </r>
    <rPh sb="0" eb="2">
      <t>ビコウ</t>
    </rPh>
    <phoneticPr fontId="2"/>
  </si>
  <si>
    <r>
      <rPr>
        <sz val="11"/>
        <color theme="1"/>
        <rFont val="ＭＳ Ｐゴシック"/>
        <family val="2"/>
        <charset val="128"/>
      </rPr>
      <t>％</t>
    </r>
    <phoneticPr fontId="2"/>
  </si>
  <si>
    <r>
      <rPr>
        <sz val="11"/>
        <color theme="1"/>
        <rFont val="ＭＳ Ｐゴシック"/>
        <family val="2"/>
        <charset val="128"/>
      </rPr>
      <t>金額</t>
    </r>
    <rPh sb="0" eb="2">
      <t>キンガク</t>
    </rPh>
    <phoneticPr fontId="2"/>
  </si>
  <si>
    <r>
      <rPr>
        <sz val="11"/>
        <color theme="1"/>
        <rFont val="ＭＳ Ｐゴシック"/>
        <family val="2"/>
        <charset val="128"/>
      </rPr>
      <t>小計</t>
    </r>
    <rPh sb="0" eb="2">
      <t>ショウケイ</t>
    </rPh>
    <phoneticPr fontId="2"/>
  </si>
  <si>
    <r>
      <rPr>
        <sz val="10"/>
        <color theme="1"/>
        <rFont val="ＭＳ Ｐゴシック"/>
        <family val="2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</si>
  <si>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Ｐゴシック"/>
        <family val="2"/>
        <charset val="128"/>
      </rPr>
      <t>消費税</t>
    </r>
    <rPh sb="0" eb="3">
      <t>ショウヒゼイ</t>
    </rPh>
    <phoneticPr fontId="2"/>
  </si>
  <si>
    <r>
      <rPr>
        <sz val="10"/>
        <color theme="1"/>
        <rFont val="ＭＳ Ｐゴシック"/>
        <family val="3"/>
        <charset val="128"/>
      </rPr>
      <t>振込銀行名</t>
    </r>
    <rPh sb="0" eb="2">
      <t>フリコミ</t>
    </rPh>
    <rPh sb="2" eb="4">
      <t>ギンコウ</t>
    </rPh>
    <rPh sb="4" eb="5">
      <t>メイ</t>
    </rPh>
    <phoneticPr fontId="2"/>
  </si>
  <si>
    <r>
      <rPr>
        <sz val="10"/>
        <color theme="1"/>
        <rFont val="ＭＳ Ｐゴシック"/>
        <family val="3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</si>
  <si>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支払条件</t>
    </r>
    <rPh sb="0" eb="2">
      <t>シハライ</t>
    </rPh>
    <rPh sb="2" eb="4">
      <t>ジョウケン</t>
    </rPh>
    <phoneticPr fontId="2"/>
  </si>
  <si>
    <r>
      <rPr>
        <sz val="11"/>
        <color theme="1"/>
        <rFont val="ＭＳ Ｐゴシック"/>
        <family val="2"/>
        <charset val="128"/>
      </rPr>
      <t>Ｃ</t>
    </r>
    <phoneticPr fontId="2"/>
  </si>
  <si>
    <r>
      <rPr>
        <sz val="11"/>
        <color theme="1"/>
        <rFont val="ＭＳ Ｐゴシック"/>
        <family val="2"/>
        <charset val="128"/>
      </rPr>
      <t>Ｂ</t>
    </r>
    <phoneticPr fontId="2"/>
  </si>
  <si>
    <t>Ｎｏ.</t>
    <phoneticPr fontId="2"/>
  </si>
  <si>
    <t>請求書（出来高）</t>
    <rPh sb="0" eb="3">
      <t>セイキュウショ</t>
    </rPh>
    <rPh sb="4" eb="7">
      <t>デキダカ</t>
    </rPh>
    <phoneticPr fontId="2"/>
  </si>
  <si>
    <r>
      <rPr>
        <b/>
        <sz val="11"/>
        <color theme="1"/>
        <rFont val="ＭＳ Ｐゴシック"/>
        <family val="2"/>
        <charset val="128"/>
      </rPr>
      <t>合計</t>
    </r>
    <rPh sb="0" eb="2">
      <t>ゴウケイ</t>
    </rPh>
    <phoneticPr fontId="2"/>
  </si>
  <si>
    <t>➀発行者控</t>
    <rPh sb="1" eb="4">
      <t>ハッコウシャ</t>
    </rPh>
    <rPh sb="4" eb="5">
      <t>ヒカ</t>
    </rPh>
    <phoneticPr fontId="2"/>
  </si>
  <si>
    <t>②工務課控</t>
    <rPh sb="1" eb="3">
      <t>コウム</t>
    </rPh>
    <rPh sb="3" eb="4">
      <t>カ</t>
    </rPh>
    <rPh sb="4" eb="5">
      <t>ヒカ</t>
    </rPh>
    <phoneticPr fontId="2"/>
  </si>
  <si>
    <t>③経理課控</t>
    <rPh sb="1" eb="3">
      <t>ケイリ</t>
    </rPh>
    <rPh sb="3" eb="4">
      <t>カ</t>
    </rPh>
    <rPh sb="4" eb="5">
      <t>ヒカ</t>
    </rPh>
    <phoneticPr fontId="2"/>
  </si>
  <si>
    <t>工事区分（１）</t>
    <rPh sb="0" eb="2">
      <t>コウジ</t>
    </rPh>
    <rPh sb="2" eb="4">
      <t>クブン</t>
    </rPh>
    <phoneticPr fontId="2"/>
  </si>
  <si>
    <t>工事区分（２）</t>
    <rPh sb="0" eb="2">
      <t>コウジ</t>
    </rPh>
    <rPh sb="2" eb="4">
      <t>クブン</t>
    </rPh>
    <phoneticPr fontId="2"/>
  </si>
  <si>
    <t>工事区分（３）</t>
    <rPh sb="0" eb="2">
      <t>コウジ</t>
    </rPh>
    <rPh sb="2" eb="4">
      <t>クブン</t>
    </rPh>
    <phoneticPr fontId="2"/>
  </si>
  <si>
    <t>工事区分（４）</t>
    <rPh sb="0" eb="2">
      <t>コウジ</t>
    </rPh>
    <rPh sb="2" eb="4">
      <t>クブン</t>
    </rPh>
    <phoneticPr fontId="2"/>
  </si>
  <si>
    <t>工事区分（５）</t>
    <rPh sb="0" eb="2">
      <t>コウジ</t>
    </rPh>
    <rPh sb="2" eb="4">
      <t>クブン</t>
    </rPh>
    <phoneticPr fontId="2"/>
  </si>
  <si>
    <t>注文番号</t>
    <rPh sb="0" eb="2">
      <t>チュウモン</t>
    </rPh>
    <rPh sb="2" eb="4">
      <t>バンゴウ</t>
    </rPh>
    <phoneticPr fontId="2"/>
  </si>
  <si>
    <t>工事ＣＤ</t>
    <rPh sb="0" eb="2">
      <t>コウジ</t>
    </rPh>
    <phoneticPr fontId="2"/>
  </si>
  <si>
    <t>工事名称</t>
    <rPh sb="0" eb="2">
      <t>コウジ</t>
    </rPh>
    <rPh sb="2" eb="4">
      <t>メイショウ</t>
    </rPh>
    <phoneticPr fontId="2"/>
  </si>
  <si>
    <t>工期</t>
    <rPh sb="0" eb="2">
      <t>コウキ</t>
    </rPh>
    <phoneticPr fontId="2"/>
  </si>
  <si>
    <t>回数</t>
    <rPh sb="0" eb="2">
      <t>カイスウ</t>
    </rPh>
    <phoneticPr fontId="24"/>
  </si>
  <si>
    <t>請求年月日</t>
    <rPh sb="0" eb="2">
      <t>セイキュウ</t>
    </rPh>
    <rPh sb="2" eb="5">
      <t>ネンガッピ</t>
    </rPh>
    <phoneticPr fontId="24"/>
  </si>
  <si>
    <t>税抜合計</t>
    <rPh sb="0" eb="2">
      <t>ゼイヌキ</t>
    </rPh>
    <rPh sb="2" eb="4">
      <t>ゴウケイ</t>
    </rPh>
    <phoneticPr fontId="24"/>
  </si>
  <si>
    <t>契約金額</t>
    <rPh sb="0" eb="2">
      <t>ケイヤク</t>
    </rPh>
    <rPh sb="2" eb="4">
      <t>キンガク</t>
    </rPh>
    <phoneticPr fontId="24"/>
  </si>
  <si>
    <t>今回請求金額</t>
    <rPh sb="0" eb="2">
      <t>コンカイ</t>
    </rPh>
    <rPh sb="2" eb="4">
      <t>セイキュウ</t>
    </rPh>
    <rPh sb="4" eb="6">
      <t>キンガク</t>
    </rPh>
    <phoneticPr fontId="24"/>
  </si>
  <si>
    <t>税抜累計</t>
    <rPh sb="0" eb="2">
      <t>ゼイヌキ</t>
    </rPh>
    <rPh sb="2" eb="4">
      <t>ルイケイ</t>
    </rPh>
    <phoneticPr fontId="24"/>
  </si>
  <si>
    <t>請求金額累計</t>
    <rPh sb="0" eb="2">
      <t>セイキュウ</t>
    </rPh>
    <rPh sb="2" eb="4">
      <t>キンガク</t>
    </rPh>
    <rPh sb="4" eb="6">
      <t>ルイケイ</t>
    </rPh>
    <phoneticPr fontId="24"/>
  </si>
  <si>
    <t>x</t>
    <phoneticPr fontId="24"/>
  </si>
  <si>
    <t>互助会　：</t>
    <rPh sb="0" eb="3">
      <t>ゴジョカイ</t>
    </rPh>
    <phoneticPr fontId="2"/>
  </si>
  <si>
    <t>科目：</t>
    <rPh sb="0" eb="2">
      <t>カモク</t>
    </rPh>
    <phoneticPr fontId="2"/>
  </si>
  <si>
    <t>施工費</t>
    <rPh sb="0" eb="3">
      <t>セコウヒ</t>
    </rPh>
    <phoneticPr fontId="24"/>
  </si>
  <si>
    <t>レンタル費</t>
    <rPh sb="4" eb="5">
      <t>ヒ</t>
    </rPh>
    <phoneticPr fontId="24"/>
  </si>
  <si>
    <t>解体費</t>
    <rPh sb="0" eb="2">
      <t>カイタイ</t>
    </rPh>
    <rPh sb="2" eb="3">
      <t>ヒ</t>
    </rPh>
    <phoneticPr fontId="24"/>
  </si>
  <si>
    <t>普通</t>
  </si>
  <si>
    <t>連絡先</t>
    <rPh sb="0" eb="3">
      <t>レンラクサキ</t>
    </rPh>
    <phoneticPr fontId="2"/>
  </si>
  <si>
    <r>
      <rPr>
        <b/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</si>
  <si>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t>000-0000</t>
    <phoneticPr fontId="2"/>
  </si>
  <si>
    <t>○○県××市１－１－１</t>
    <rPh sb="2" eb="3">
      <t>ケン</t>
    </rPh>
    <rPh sb="5" eb="6">
      <t>シ</t>
    </rPh>
    <phoneticPr fontId="2"/>
  </si>
  <si>
    <t>株式会社○○××</t>
    <phoneticPr fontId="2"/>
  </si>
  <si>
    <t>00-0000-0000</t>
    <phoneticPr fontId="2"/>
  </si>
  <si>
    <t>㈱○○××</t>
    <phoneticPr fontId="2"/>
  </si>
  <si>
    <t>◆◆銀行</t>
    <rPh sb="2" eb="4">
      <t>ギンコウ</t>
    </rPh>
    <phoneticPr fontId="2"/>
  </si>
  <si>
    <t>△△支店</t>
    <rPh sb="2" eb="4">
      <t>シテン</t>
    </rPh>
    <phoneticPr fontId="2"/>
  </si>
  <si>
    <t>0000000</t>
    <phoneticPr fontId="2"/>
  </si>
  <si>
    <t>10000XXX-00</t>
    <phoneticPr fontId="24"/>
  </si>
  <si>
    <r>
      <t>(</t>
    </r>
    <r>
      <rPr>
        <sz val="11"/>
        <color theme="1"/>
        <rFont val="ＭＳ Ｐ明朝"/>
        <family val="1"/>
        <charset val="128"/>
      </rPr>
      <t>支払計画方式</t>
    </r>
    <r>
      <rPr>
        <sz val="11"/>
        <color theme="1"/>
        <rFont val="Times New Roman"/>
        <family val="1"/>
      </rPr>
      <t>)</t>
    </r>
    <rPh sb="1" eb="3">
      <t>シハラ</t>
    </rPh>
    <rPh sb="3" eb="5">
      <t>ケイカク</t>
    </rPh>
    <rPh sb="5" eb="7">
      <t>ホウシキ</t>
    </rPh>
    <phoneticPr fontId="2"/>
  </si>
  <si>
    <t>契約金額
（税抜価格）</t>
    <rPh sb="0" eb="2">
      <t>ケイヤク</t>
    </rPh>
    <rPh sb="2" eb="4">
      <t>キンガク</t>
    </rPh>
    <rPh sb="6" eb="7">
      <t>ゼイ</t>
    </rPh>
    <rPh sb="7" eb="8">
      <t>ヌ</t>
    </rPh>
    <rPh sb="8" eb="10">
      <t>カカク</t>
    </rPh>
    <phoneticPr fontId="2"/>
  </si>
  <si>
    <t>工事区分（６）</t>
    <rPh sb="0" eb="2">
      <t>コウジ</t>
    </rPh>
    <rPh sb="2" eb="4">
      <t>クブン</t>
    </rPh>
    <phoneticPr fontId="2"/>
  </si>
  <si>
    <t>(税抜)</t>
    <rPh sb="1" eb="3">
      <t>ゼイヌキ</t>
    </rPh>
    <phoneticPr fontId="24"/>
  </si>
  <si>
    <t>入力日付</t>
    <rPh sb="0" eb="2">
      <t>ニュウリョク</t>
    </rPh>
    <rPh sb="2" eb="4">
      <t>ヒヅケ</t>
    </rPh>
    <phoneticPr fontId="24"/>
  </si>
  <si>
    <t>工事名称の文字数（30字以内）</t>
    <rPh sb="0" eb="2">
      <t>コウジ</t>
    </rPh>
    <rPh sb="2" eb="4">
      <t>メイショウ</t>
    </rPh>
    <rPh sb="5" eb="8">
      <t>モジスウ</t>
    </rPh>
    <rPh sb="11" eb="12">
      <t>ジ</t>
    </rPh>
    <rPh sb="12" eb="14">
      <t>イナイ</t>
    </rPh>
    <phoneticPr fontId="24"/>
  </si>
  <si>
    <t>合計と明細一致確認</t>
    <rPh sb="0" eb="2">
      <t>ゴウケイ</t>
    </rPh>
    <rPh sb="3" eb="5">
      <t>メイサイ</t>
    </rPh>
    <rPh sb="5" eb="7">
      <t>イッチ</t>
    </rPh>
    <rPh sb="7" eb="9">
      <t>カクニン</t>
    </rPh>
    <phoneticPr fontId="24"/>
  </si>
  <si>
    <t>明細と合計</t>
    <rPh sb="0" eb="2">
      <t>メイサイ</t>
    </rPh>
    <rPh sb="3" eb="5">
      <t>ゴウケイ</t>
    </rPh>
    <phoneticPr fontId="2"/>
  </si>
  <si>
    <t>計算式検証</t>
    <rPh sb="0" eb="3">
      <t>ケイサンシキ</t>
    </rPh>
    <rPh sb="3" eb="5">
      <t>ケンショウ</t>
    </rPh>
    <phoneticPr fontId="2"/>
  </si>
  <si>
    <t>差異が出ている場合は計算式が崩れているので、使用しないこと！</t>
    <rPh sb="0" eb="2">
      <t>サイ</t>
    </rPh>
    <rPh sb="3" eb="4">
      <t>デ</t>
    </rPh>
    <rPh sb="7" eb="9">
      <t>バアイ</t>
    </rPh>
    <rPh sb="10" eb="13">
      <t>ケイサンシキ</t>
    </rPh>
    <rPh sb="14" eb="15">
      <t>クズ</t>
    </rPh>
    <rPh sb="22" eb="24">
      <t>シヨウ</t>
    </rPh>
    <phoneticPr fontId="2"/>
  </si>
  <si>
    <t>明細</t>
    <rPh sb="0" eb="2">
      <t>メイサイ</t>
    </rPh>
    <phoneticPr fontId="2"/>
  </si>
  <si>
    <t>登録番号</t>
    <rPh sb="0" eb="2">
      <t>トウロク</t>
    </rPh>
    <rPh sb="2" eb="4">
      <t>バンゴウ</t>
    </rPh>
    <phoneticPr fontId="2"/>
  </si>
  <si>
    <t>71-1001</t>
    <phoneticPr fontId="24"/>
  </si>
  <si>
    <t>テスト工事</t>
    <rPh sb="3" eb="5">
      <t>コウジ</t>
    </rPh>
    <phoneticPr fontId="24"/>
  </si>
  <si>
    <t>T1000000000000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</si>
</sst>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&quot;(第&quot;0&quot;回)&quot;"/>
    <numFmt numFmtId="177" formatCode="[$-F800]dddd\,\ mmmm\ dd\,\ yyyy"/>
    <numFmt numFmtId="178" formatCode="yy&quot;年&quot;m&quot;月&quot;d&quot;日&quot;;@"/>
    <numFmt numFmtId="179" formatCode="&quot;～&quot;yyyy&quot;年&quot;m&quot;月&quot;d&quot;日&quot;"/>
    <numFmt numFmtId="180" formatCode="\T0000000000000"/>
    <numFmt numFmtId="181" formatCode="0.0%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Times New Roman"/>
      <family val="1"/>
      <charset val="128"/>
    </font>
    <font>
      <sz val="11"/>
      <color rgb="FFFF0000"/>
      <name val="Times New Roman"/>
      <family val="1"/>
    </font>
    <font>
      <sz val="6"/>
      <name val="明朝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/>
    <xf numFmtId="0" fontId="4" fillId="0" borderId="0"/>
  </cellStyleXfs>
  <cellXfs count="509">
    <xf numFmtId="0" fontId="0" fillId="0" borderId="0" xfId="0">
      <alignment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2" fillId="2" borderId="23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0" fontId="12" fillId="0" borderId="19" xfId="0" applyFont="1" applyBorder="1" applyAlignment="1">
      <alignment horizontal="center" vertical="center"/>
    </xf>
    <xf numFmtId="38" fontId="17" fillId="2" borderId="22" xfId="1" applyFont="1" applyFill="1" applyBorder="1" applyAlignment="1">
      <alignment vertical="center"/>
    </xf>
    <xf numFmtId="0" fontId="23" fillId="2" borderId="0" xfId="0" applyFont="1" applyFill="1">
      <alignment vertical="center"/>
    </xf>
    <xf numFmtId="9" fontId="13" fillId="0" borderId="35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/>
      <protection locked="0"/>
    </xf>
    <xf numFmtId="38" fontId="17" fillId="0" borderId="13" xfId="1" applyFont="1" applyBorder="1" applyProtection="1">
      <alignment vertical="center"/>
    </xf>
    <xf numFmtId="38" fontId="17" fillId="0" borderId="1" xfId="1" applyFont="1" applyBorder="1" applyProtection="1">
      <alignment vertical="center"/>
    </xf>
    <xf numFmtId="9" fontId="15" fillId="0" borderId="1" xfId="2" applyFont="1" applyBorder="1" applyAlignment="1" applyProtection="1">
      <alignment horizontal="right" vertical="center" shrinkToFit="1"/>
    </xf>
    <xf numFmtId="9" fontId="14" fillId="0" borderId="1" xfId="2" applyFont="1" applyBorder="1" applyAlignment="1" applyProtection="1">
      <alignment horizontal="right" vertical="center" shrinkToFit="1"/>
    </xf>
    <xf numFmtId="38" fontId="13" fillId="0" borderId="1" xfId="1" applyFont="1" applyBorder="1" applyProtection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176" fontId="13" fillId="4" borderId="43" xfId="0" applyNumberFormat="1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18" fillId="4" borderId="29" xfId="0" applyFont="1" applyFill="1" applyBorder="1" applyProtection="1">
      <alignment vertical="center"/>
      <protection locked="0"/>
    </xf>
    <xf numFmtId="9" fontId="19" fillId="4" borderId="15" xfId="0" applyNumberFormat="1" applyFont="1" applyFill="1" applyBorder="1" applyAlignment="1" applyProtection="1">
      <alignment horizontal="right" vertical="center"/>
      <protection locked="0"/>
    </xf>
    <xf numFmtId="0" fontId="12" fillId="5" borderId="3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49" fontId="18" fillId="4" borderId="31" xfId="0" applyNumberFormat="1" applyFont="1" applyFill="1" applyBorder="1" applyAlignment="1" applyProtection="1">
      <alignment horizontal="center" vertical="center"/>
      <protection locked="0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18" fillId="3" borderId="0" xfId="0" applyFont="1" applyFill="1" applyAlignment="1">
      <alignment horizontal="left" vertical="center"/>
    </xf>
    <xf numFmtId="38" fontId="13" fillId="0" borderId="1" xfId="1" applyFont="1" applyFill="1" applyBorder="1" applyProtection="1">
      <alignment vertical="center"/>
      <protection locked="0"/>
    </xf>
    <xf numFmtId="9" fontId="14" fillId="0" borderId="1" xfId="2" applyFont="1" applyFill="1" applyBorder="1" applyAlignment="1" applyProtection="1">
      <alignment horizontal="right" vertical="center" shrinkToFit="1"/>
    </xf>
    <xf numFmtId="38" fontId="13" fillId="0" borderId="1" xfId="1" applyFont="1" applyFill="1" applyBorder="1" applyProtection="1">
      <alignment vertical="center"/>
    </xf>
    <xf numFmtId="38" fontId="17" fillId="0" borderId="1" xfId="1" applyFont="1" applyFill="1" applyBorder="1" applyProtection="1">
      <alignment vertical="center"/>
    </xf>
    <xf numFmtId="0" fontId="12" fillId="0" borderId="26" xfId="0" applyFont="1" applyBorder="1" applyProtection="1">
      <alignment vertical="center"/>
      <protection locked="0"/>
    </xf>
    <xf numFmtId="176" fontId="13" fillId="2" borderId="43" xfId="0" applyNumberFormat="1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Protection="1">
      <alignment vertical="center"/>
      <protection locked="0"/>
    </xf>
    <xf numFmtId="38" fontId="13" fillId="2" borderId="1" xfId="1" applyFont="1" applyFill="1" applyBorder="1" applyProtection="1">
      <alignment vertical="center"/>
      <protection locked="0"/>
    </xf>
    <xf numFmtId="38" fontId="13" fillId="2" borderId="1" xfId="1" applyFont="1" applyFill="1" applyBorder="1" applyAlignment="1" applyProtection="1">
      <alignment vertical="center" shrinkToFit="1"/>
    </xf>
    <xf numFmtId="38" fontId="12" fillId="2" borderId="24" xfId="1" applyFont="1" applyFill="1" applyBorder="1" applyProtection="1">
      <alignment vertical="center"/>
      <protection locked="0"/>
    </xf>
    <xf numFmtId="38" fontId="12" fillId="2" borderId="35" xfId="1" applyFont="1" applyFill="1" applyBorder="1" applyProtection="1">
      <alignment vertical="center"/>
      <protection locked="0"/>
    </xf>
    <xf numFmtId="0" fontId="18" fillId="2" borderId="24" xfId="0" applyFont="1" applyFill="1" applyBorder="1" applyAlignment="1" applyProtection="1">
      <alignment horizontal="right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Protection="1">
      <alignment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9" fontId="19" fillId="2" borderId="15" xfId="0" applyNumberFormat="1" applyFont="1" applyFill="1" applyBorder="1" applyAlignment="1" applyProtection="1">
      <alignment horizontal="right" vertical="center"/>
      <protection locked="0"/>
    </xf>
    <xf numFmtId="9" fontId="12" fillId="2" borderId="34" xfId="0" applyNumberFormat="1" applyFont="1" applyFill="1" applyBorder="1" applyAlignment="1" applyProtection="1">
      <alignment horizontal="center" vertical="center"/>
      <protection locked="0"/>
    </xf>
    <xf numFmtId="9" fontId="14" fillId="2" borderId="1" xfId="2" applyFont="1" applyFill="1" applyBorder="1" applyAlignment="1" applyProtection="1">
      <alignment horizontal="right" vertical="center" shrinkToFit="1"/>
    </xf>
    <xf numFmtId="38" fontId="13" fillId="2" borderId="1" xfId="1" applyFont="1" applyFill="1" applyBorder="1" applyProtection="1">
      <alignment vertical="center"/>
    </xf>
    <xf numFmtId="38" fontId="12" fillId="4" borderId="24" xfId="1" applyFont="1" applyFill="1" applyBorder="1" applyProtection="1">
      <alignment vertical="center"/>
      <protection locked="0"/>
    </xf>
    <xf numFmtId="38" fontId="12" fillId="4" borderId="35" xfId="1" applyFont="1" applyFill="1" applyBorder="1" applyProtection="1">
      <alignment vertical="center"/>
      <protection locked="0"/>
    </xf>
    <xf numFmtId="0" fontId="18" fillId="2" borderId="0" xfId="0" applyFont="1" applyFill="1">
      <alignment vertical="center"/>
    </xf>
    <xf numFmtId="0" fontId="12" fillId="2" borderId="78" xfId="0" applyFont="1" applyFill="1" applyBorder="1">
      <alignment vertical="center"/>
    </xf>
    <xf numFmtId="0" fontId="12" fillId="2" borderId="25" xfId="0" applyFont="1" applyFill="1" applyBorder="1">
      <alignment vertical="center"/>
    </xf>
    <xf numFmtId="0" fontId="18" fillId="4" borderId="24" xfId="0" applyFont="1" applyFill="1" applyBorder="1" applyAlignment="1" applyProtection="1">
      <alignment vertical="center" wrapText="1"/>
      <protection locked="0"/>
    </xf>
    <xf numFmtId="0" fontId="18" fillId="2" borderId="24" xfId="0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>
      <alignment horizontal="center" vertical="top"/>
    </xf>
    <xf numFmtId="0" fontId="18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9" fontId="12" fillId="4" borderId="81" xfId="0" applyNumberFormat="1" applyFont="1" applyFill="1" applyBorder="1" applyAlignment="1" applyProtection="1">
      <alignment horizontal="center" vertical="center"/>
      <protection locked="0"/>
    </xf>
    <xf numFmtId="38" fontId="13" fillId="0" borderId="11" xfId="1" applyFont="1" applyFill="1" applyBorder="1" applyAlignment="1" applyProtection="1">
      <alignment vertical="center" shrinkToFit="1"/>
    </xf>
    <xf numFmtId="38" fontId="17" fillId="0" borderId="14" xfId="1" applyFont="1" applyFill="1" applyBorder="1" applyProtection="1">
      <alignment vertical="center"/>
    </xf>
    <xf numFmtId="9" fontId="12" fillId="2" borderId="81" xfId="0" applyNumberFormat="1" applyFont="1" applyFill="1" applyBorder="1" applyAlignment="1" applyProtection="1">
      <alignment horizontal="center" vertical="center"/>
      <protection locked="0"/>
    </xf>
    <xf numFmtId="38" fontId="13" fillId="2" borderId="11" xfId="1" applyFont="1" applyFill="1" applyBorder="1" applyAlignment="1" applyProtection="1">
      <alignment vertical="center" shrinkToFit="1"/>
    </xf>
    <xf numFmtId="38" fontId="17" fillId="2" borderId="14" xfId="1" applyFont="1" applyFill="1" applyBorder="1" applyProtection="1">
      <alignment vertical="center"/>
    </xf>
    <xf numFmtId="0" fontId="12" fillId="0" borderId="0" xfId="0" applyFont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38" fontId="17" fillId="2" borderId="22" xfId="1" applyFont="1" applyFill="1" applyBorder="1" applyAlignment="1" applyProtection="1">
      <alignment vertical="center"/>
    </xf>
    <xf numFmtId="9" fontId="13" fillId="0" borderId="35" xfId="0" applyNumberFormat="1" applyFont="1" applyBorder="1" applyAlignment="1">
      <alignment horizontal="right" vertical="center"/>
    </xf>
    <xf numFmtId="176" fontId="13" fillId="2" borderId="43" xfId="0" applyNumberFormat="1" applyFont="1" applyFill="1" applyBorder="1" applyAlignment="1">
      <alignment horizontal="center" vertical="center"/>
    </xf>
    <xf numFmtId="0" fontId="12" fillId="2" borderId="26" xfId="0" applyFont="1" applyFill="1" applyBorder="1">
      <alignment vertical="center"/>
    </xf>
    <xf numFmtId="38" fontId="12" fillId="2" borderId="24" xfId="1" applyFont="1" applyFill="1" applyBorder="1" applyProtection="1">
      <alignment vertical="center"/>
    </xf>
    <xf numFmtId="38" fontId="12" fillId="2" borderId="35" xfId="1" applyFont="1" applyFill="1" applyBorder="1" applyProtection="1">
      <alignment vertical="center"/>
    </xf>
    <xf numFmtId="0" fontId="7" fillId="2" borderId="28" xfId="0" applyFont="1" applyFill="1" applyBorder="1" applyAlignment="1">
      <alignment horizontal="center" vertical="center"/>
    </xf>
    <xf numFmtId="0" fontId="18" fillId="2" borderId="29" xfId="0" applyFont="1" applyFill="1" applyBorder="1">
      <alignment vertical="center"/>
    </xf>
    <xf numFmtId="0" fontId="18" fillId="2" borderId="31" xfId="0" applyFont="1" applyFill="1" applyBorder="1" applyAlignment="1">
      <alignment horizontal="center" vertical="center"/>
    </xf>
    <xf numFmtId="9" fontId="19" fillId="2" borderId="15" xfId="0" applyNumberFormat="1" applyFont="1" applyFill="1" applyBorder="1" applyAlignment="1">
      <alignment horizontal="right" vertical="center"/>
    </xf>
    <xf numFmtId="9" fontId="12" fillId="2" borderId="34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right" vertical="center" wrapText="1"/>
    </xf>
    <xf numFmtId="0" fontId="3" fillId="4" borderId="7" xfId="0" applyFont="1" applyFill="1" applyBorder="1" applyProtection="1">
      <alignment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31" fontId="3" fillId="4" borderId="10" xfId="0" applyNumberFormat="1" applyFont="1" applyFill="1" applyBorder="1" applyAlignment="1" applyProtection="1">
      <alignment vertical="center" shrinkToFit="1"/>
      <protection locked="0"/>
    </xf>
    <xf numFmtId="179" fontId="3" fillId="4" borderId="7" xfId="0" applyNumberFormat="1" applyFont="1" applyFill="1" applyBorder="1" applyAlignment="1" applyProtection="1">
      <alignment vertical="center" shrinkToFit="1"/>
      <protection locked="0"/>
    </xf>
    <xf numFmtId="178" fontId="3" fillId="4" borderId="55" xfId="0" applyNumberFormat="1" applyFont="1" applyFill="1" applyBorder="1" applyProtection="1">
      <alignment vertical="center"/>
      <protection locked="0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78" fontId="3" fillId="0" borderId="56" xfId="0" applyNumberFormat="1" applyFont="1" applyBorder="1">
      <alignment vertical="center"/>
    </xf>
    <xf numFmtId="178" fontId="3" fillId="0" borderId="57" xfId="0" applyNumberFormat="1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26" fillId="0" borderId="53" xfId="0" applyFont="1" applyBorder="1" applyAlignment="1">
      <alignment horizontal="center" shrinkToFit="1"/>
    </xf>
    <xf numFmtId="0" fontId="26" fillId="0" borderId="46" xfId="0" applyFont="1" applyBorder="1" applyAlignment="1">
      <alignment shrinkToFit="1"/>
    </xf>
    <xf numFmtId="6" fontId="26" fillId="0" borderId="47" xfId="5" applyFont="1" applyBorder="1" applyAlignment="1" applyProtection="1">
      <alignment shrinkToFit="1"/>
    </xf>
    <xf numFmtId="6" fontId="26" fillId="0" borderId="19" xfId="5" applyFont="1" applyBorder="1" applyAlignment="1" applyProtection="1">
      <alignment shrinkToFit="1"/>
    </xf>
    <xf numFmtId="6" fontId="26" fillId="0" borderId="73" xfId="5" applyFont="1" applyBorder="1" applyAlignment="1" applyProtection="1">
      <alignment shrinkToFit="1"/>
    </xf>
    <xf numFmtId="6" fontId="26" fillId="0" borderId="14" xfId="5" applyFont="1" applyBorder="1" applyAlignment="1" applyProtection="1">
      <alignment shrinkToFit="1"/>
    </xf>
    <xf numFmtId="6" fontId="26" fillId="0" borderId="54" xfId="5" applyFont="1" applyBorder="1" applyAlignment="1" applyProtection="1">
      <alignment shrinkToFit="1"/>
    </xf>
    <xf numFmtId="6" fontId="26" fillId="0" borderId="74" xfId="5" applyFont="1" applyBorder="1" applyAlignment="1" applyProtection="1">
      <alignment shrinkToFit="1"/>
    </xf>
    <xf numFmtId="6" fontId="26" fillId="0" borderId="85" xfId="5" applyFont="1" applyBorder="1" applyAlignment="1" applyProtection="1">
      <alignment shrinkToFit="1"/>
    </xf>
    <xf numFmtId="0" fontId="25" fillId="0" borderId="84" xfId="0" applyFont="1" applyBorder="1" applyAlignment="1">
      <alignment horizontal="center" vertical="center"/>
    </xf>
    <xf numFmtId="38" fontId="12" fillId="0" borderId="0" xfId="0" applyNumberFormat="1" applyFont="1" applyAlignment="1">
      <alignment horizontal="center" vertical="center"/>
    </xf>
    <xf numFmtId="38" fontId="13" fillId="2" borderId="30" xfId="1" applyFont="1" applyFill="1" applyBorder="1" applyAlignment="1" applyProtection="1">
      <alignment vertical="center" shrinkToFit="1"/>
    </xf>
    <xf numFmtId="0" fontId="12" fillId="5" borderId="87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38" fontId="13" fillId="0" borderId="1" xfId="1" applyFont="1" applyBorder="1" applyAlignment="1" applyProtection="1">
      <alignment vertical="center" shrinkToFit="1"/>
    </xf>
    <xf numFmtId="38" fontId="13" fillId="2" borderId="28" xfId="1" applyFont="1" applyFill="1" applyBorder="1" applyAlignment="1" applyProtection="1">
      <alignment vertical="center" shrinkToFit="1"/>
    </xf>
    <xf numFmtId="38" fontId="13" fillId="0" borderId="28" xfId="1" applyFont="1" applyBorder="1" applyAlignment="1" applyProtection="1">
      <alignment vertical="center" shrinkToFit="1"/>
    </xf>
    <xf numFmtId="38" fontId="17" fillId="0" borderId="34" xfId="1" applyFont="1" applyBorder="1" applyAlignment="1" applyProtection="1">
      <alignment vertical="center" shrinkToFit="1"/>
    </xf>
    <xf numFmtId="38" fontId="17" fillId="2" borderId="14" xfId="1" applyFont="1" applyFill="1" applyBorder="1" applyAlignment="1" applyProtection="1">
      <alignment vertical="center" shrinkToFit="1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14" fontId="3" fillId="4" borderId="7" xfId="0" applyNumberFormat="1" applyFont="1" applyFill="1" applyBorder="1" applyAlignment="1" applyProtection="1">
      <alignment vertical="center" shrinkToFit="1"/>
      <protection locked="0"/>
    </xf>
    <xf numFmtId="38" fontId="12" fillId="4" borderId="24" xfId="1" applyFont="1" applyFill="1" applyBorder="1" applyAlignment="1" applyProtection="1">
      <alignment vertical="center" shrinkToFit="1"/>
      <protection locked="0"/>
    </xf>
    <xf numFmtId="0" fontId="18" fillId="4" borderId="24" xfId="0" applyFont="1" applyFill="1" applyBorder="1" applyAlignment="1" applyProtection="1">
      <alignment vertical="center" shrinkToFit="1"/>
      <protection locked="0"/>
    </xf>
    <xf numFmtId="0" fontId="12" fillId="2" borderId="26" xfId="0" applyFont="1" applyFill="1" applyBorder="1" applyAlignment="1">
      <alignment vertical="center" shrinkToFit="1"/>
    </xf>
    <xf numFmtId="38" fontId="12" fillId="2" borderId="24" xfId="1" applyFont="1" applyFill="1" applyBorder="1" applyAlignment="1" applyProtection="1">
      <alignment vertical="center" shrinkToFit="1"/>
    </xf>
    <xf numFmtId="38" fontId="12" fillId="2" borderId="35" xfId="1" applyFont="1" applyFill="1" applyBorder="1" applyAlignment="1" applyProtection="1">
      <alignment vertical="center" shrinkToFit="1"/>
    </xf>
    <xf numFmtId="38" fontId="12" fillId="2" borderId="86" xfId="1" applyFont="1" applyFill="1" applyBorder="1" applyAlignment="1" applyProtection="1">
      <alignment vertical="center" shrinkToFit="1"/>
    </xf>
    <xf numFmtId="0" fontId="18" fillId="2" borderId="24" xfId="0" applyFont="1" applyFill="1" applyBorder="1" applyAlignment="1">
      <alignment vertical="center" shrinkToFit="1"/>
    </xf>
    <xf numFmtId="0" fontId="25" fillId="4" borderId="48" xfId="0" applyFont="1" applyFill="1" applyBorder="1" applyAlignment="1" applyProtection="1">
      <alignment horizontal="center" vertical="center" shrinkToFit="1"/>
      <protection locked="0"/>
    </xf>
    <xf numFmtId="0" fontId="25" fillId="4" borderId="61" xfId="0" applyFont="1" applyFill="1" applyBorder="1" applyAlignment="1" applyProtection="1">
      <alignment horizontal="center" vertical="center" shrinkToFit="1"/>
      <protection locked="0"/>
    </xf>
    <xf numFmtId="0" fontId="25" fillId="4" borderId="84" xfId="0" applyFont="1" applyFill="1" applyBorder="1" applyAlignment="1" applyProtection="1">
      <alignment horizontal="center" vertical="center" shrinkToFit="1"/>
      <protection locked="0"/>
    </xf>
    <xf numFmtId="38" fontId="3" fillId="4" borderId="50" xfId="1" applyFont="1" applyFill="1" applyBorder="1" applyAlignment="1" applyProtection="1">
      <alignment vertical="center" shrinkToFit="1"/>
      <protection locked="0"/>
    </xf>
    <xf numFmtId="38" fontId="3" fillId="4" borderId="49" xfId="1" applyFont="1" applyFill="1" applyBorder="1" applyAlignment="1" applyProtection="1">
      <alignment vertical="center" shrinkToFit="1"/>
      <protection locked="0"/>
    </xf>
    <xf numFmtId="38" fontId="3" fillId="4" borderId="83" xfId="1" applyFont="1" applyFill="1" applyBorder="1" applyAlignment="1" applyProtection="1">
      <alignment vertical="center" shrinkToFit="1"/>
      <protection locked="0"/>
    </xf>
    <xf numFmtId="38" fontId="3" fillId="4" borderId="51" xfId="1" applyFont="1" applyFill="1" applyBorder="1" applyAlignment="1" applyProtection="1">
      <alignment vertical="center" shrinkToFit="1"/>
      <protection locked="0"/>
    </xf>
    <xf numFmtId="38" fontId="3" fillId="4" borderId="45" xfId="1" applyFont="1" applyFill="1" applyBorder="1" applyAlignment="1" applyProtection="1">
      <alignment vertical="center" shrinkToFit="1"/>
      <protection locked="0"/>
    </xf>
    <xf numFmtId="38" fontId="3" fillId="4" borderId="64" xfId="1" applyFont="1" applyFill="1" applyBorder="1" applyAlignment="1" applyProtection="1">
      <alignment vertical="center" shrinkToFit="1"/>
      <protection locked="0"/>
    </xf>
    <xf numFmtId="38" fontId="3" fillId="4" borderId="52" xfId="1" applyFont="1" applyFill="1" applyBorder="1" applyAlignment="1" applyProtection="1">
      <alignment vertical="center" shrinkToFit="1"/>
      <protection locked="0"/>
    </xf>
    <xf numFmtId="38" fontId="3" fillId="4" borderId="48" xfId="1" applyFont="1" applyFill="1" applyBorder="1" applyAlignment="1" applyProtection="1">
      <alignment vertical="center" shrinkToFit="1"/>
      <protection locked="0"/>
    </xf>
    <xf numFmtId="38" fontId="3" fillId="0" borderId="58" xfId="1" applyFont="1" applyBorder="1" applyAlignment="1" applyProtection="1">
      <alignment vertical="center" shrinkToFit="1"/>
    </xf>
    <xf numFmtId="38" fontId="3" fillId="0" borderId="59" xfId="1" applyFont="1" applyBorder="1" applyAlignment="1" applyProtection="1">
      <alignment vertical="center" shrinkToFit="1"/>
    </xf>
    <xf numFmtId="38" fontId="3" fillId="0" borderId="59" xfId="1" applyFont="1" applyFill="1" applyBorder="1" applyAlignment="1" applyProtection="1">
      <alignment vertical="center" shrinkToFit="1"/>
    </xf>
    <xf numFmtId="38" fontId="3" fillId="0" borderId="60" xfId="1" applyFont="1" applyBorder="1" applyAlignment="1" applyProtection="1">
      <alignment vertical="center" shrinkToFit="1"/>
    </xf>
    <xf numFmtId="6" fontId="3" fillId="0" borderId="10" xfId="0" applyNumberFormat="1" applyFont="1" applyBorder="1" applyAlignment="1">
      <alignment vertical="center" shrinkToFit="1"/>
    </xf>
    <xf numFmtId="38" fontId="3" fillId="0" borderId="65" xfId="1" applyFont="1" applyBorder="1" applyAlignment="1" applyProtection="1">
      <alignment vertical="center" shrinkToFit="1"/>
    </xf>
    <xf numFmtId="38" fontId="3" fillId="0" borderId="50" xfId="1" applyFont="1" applyBorder="1" applyAlignment="1" applyProtection="1">
      <alignment vertical="center" shrinkToFit="1"/>
    </xf>
    <xf numFmtId="38" fontId="3" fillId="0" borderId="49" xfId="1" applyFont="1" applyBorder="1" applyAlignment="1" applyProtection="1">
      <alignment vertical="center" shrinkToFit="1"/>
    </xf>
    <xf numFmtId="38" fontId="3" fillId="0" borderId="55" xfId="1" applyFont="1" applyBorder="1" applyAlignment="1" applyProtection="1">
      <alignment vertical="center" shrinkToFit="1"/>
    </xf>
    <xf numFmtId="38" fontId="3" fillId="0" borderId="51" xfId="1" applyFont="1" applyBorder="1" applyAlignment="1" applyProtection="1">
      <alignment vertical="center" shrinkToFit="1"/>
    </xf>
    <xf numFmtId="38" fontId="3" fillId="0" borderId="45" xfId="1" applyFont="1" applyBorder="1" applyAlignment="1" applyProtection="1">
      <alignment vertical="center" shrinkToFit="1"/>
    </xf>
    <xf numFmtId="38" fontId="3" fillId="0" borderId="56" xfId="1" applyFont="1" applyBorder="1" applyAlignment="1" applyProtection="1">
      <alignment vertical="center" shrinkToFit="1"/>
    </xf>
    <xf numFmtId="38" fontId="3" fillId="0" borderId="52" xfId="1" applyFont="1" applyBorder="1" applyAlignment="1" applyProtection="1">
      <alignment vertical="center" shrinkToFit="1"/>
    </xf>
    <xf numFmtId="38" fontId="3" fillId="0" borderId="48" xfId="1" applyFont="1" applyBorder="1" applyAlignment="1" applyProtection="1">
      <alignment vertical="center" shrinkToFit="1"/>
    </xf>
    <xf numFmtId="38" fontId="3" fillId="0" borderId="57" xfId="1" applyFont="1" applyBorder="1" applyAlignment="1" applyProtection="1">
      <alignment vertical="center" shrinkToFit="1"/>
    </xf>
    <xf numFmtId="0" fontId="12" fillId="0" borderId="4" xfId="0" applyFont="1" applyBorder="1">
      <alignment vertical="center"/>
    </xf>
    <xf numFmtId="38" fontId="12" fillId="4" borderId="89" xfId="1" applyFont="1" applyFill="1" applyBorder="1" applyAlignment="1" applyProtection="1">
      <alignment vertical="center" shrinkToFit="1"/>
      <protection locked="0"/>
    </xf>
    <xf numFmtId="38" fontId="12" fillId="4" borderId="81" xfId="1" applyFont="1" applyFill="1" applyBorder="1" applyAlignment="1" applyProtection="1">
      <alignment vertical="center" shrinkToFit="1"/>
      <protection locked="0"/>
    </xf>
    <xf numFmtId="0" fontId="25" fillId="4" borderId="40" xfId="0" applyFont="1" applyFill="1" applyBorder="1" applyAlignment="1" applyProtection="1">
      <alignment horizontal="center" vertical="center" shrinkToFit="1"/>
      <protection locked="0"/>
    </xf>
    <xf numFmtId="38" fontId="3" fillId="4" borderId="56" xfId="1" applyFont="1" applyFill="1" applyBorder="1" applyAlignment="1" applyProtection="1">
      <alignment vertical="center" shrinkToFit="1"/>
      <protection locked="0"/>
    </xf>
    <xf numFmtId="38" fontId="3" fillId="4" borderId="57" xfId="1" applyFont="1" applyFill="1" applyBorder="1" applyAlignment="1" applyProtection="1">
      <alignment vertical="center" shrinkToFit="1"/>
      <protection locked="0"/>
    </xf>
    <xf numFmtId="38" fontId="18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horizontal="left" shrinkToFit="1"/>
    </xf>
    <xf numFmtId="0" fontId="18" fillId="2" borderId="0" xfId="0" applyFont="1" applyFill="1" applyAlignment="1">
      <alignment horizontal="left" shrinkToFit="1"/>
    </xf>
    <xf numFmtId="0" fontId="12" fillId="2" borderId="0" xfId="0" applyFont="1" applyFill="1" applyAlignment="1">
      <alignment horizontal="left" vertical="top" shrinkToFit="1"/>
    </xf>
    <xf numFmtId="0" fontId="12" fillId="2" borderId="0" xfId="0" applyFont="1" applyFill="1" applyAlignment="1" applyProtection="1">
      <alignment horizontal="left" vertical="top" shrinkToFit="1"/>
      <protection locked="0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2" fillId="2" borderId="0" xfId="0" applyFont="1" applyFill="1" applyAlignment="1">
      <alignment horizontal="right"/>
    </xf>
    <xf numFmtId="176" fontId="13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top" shrinkToFit="1"/>
    </xf>
    <xf numFmtId="38" fontId="12" fillId="2" borderId="0" xfId="1" applyFont="1" applyFill="1" applyBorder="1" applyAlignment="1" applyProtection="1">
      <alignment vertical="center" shrinkToFit="1"/>
    </xf>
    <xf numFmtId="38" fontId="12" fillId="2" borderId="0" xfId="1" applyFont="1" applyFill="1" applyBorder="1" applyProtection="1">
      <alignment vertical="center"/>
    </xf>
    <xf numFmtId="0" fontId="12" fillId="2" borderId="0" xfId="0" applyFont="1" applyFill="1" applyAlignment="1">
      <alignment horizontal="center" vertical="center" shrinkToFit="1"/>
    </xf>
    <xf numFmtId="176" fontId="13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shrinkToFit="1"/>
      <protection locked="0"/>
    </xf>
    <xf numFmtId="0" fontId="12" fillId="2" borderId="0" xfId="0" applyFont="1" applyFill="1" applyAlignment="1" applyProtection="1">
      <alignment vertical="top" shrinkToFit="1"/>
      <protection locked="0"/>
    </xf>
    <xf numFmtId="38" fontId="12" fillId="2" borderId="0" xfId="1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>
      <alignment horizontal="left" vertical="center"/>
    </xf>
    <xf numFmtId="38" fontId="12" fillId="2" borderId="0" xfId="0" applyNumberFormat="1" applyFont="1" applyFill="1">
      <alignment vertical="center"/>
    </xf>
    <xf numFmtId="0" fontId="3" fillId="4" borderId="0" xfId="0" applyFont="1" applyFill="1">
      <alignment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0" fontId="3" fillId="4" borderId="51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180" fontId="12" fillId="2" borderId="0" xfId="0" applyNumberFormat="1" applyFont="1" applyFill="1" applyAlignment="1">
      <alignment horizontal="center" vertical="center"/>
    </xf>
    <xf numFmtId="38" fontId="20" fillId="2" borderId="22" xfId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5" xfId="0" applyFont="1" applyFill="1" applyBorder="1">
      <alignment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90" xfId="0" applyFont="1" applyFill="1" applyBorder="1" applyAlignment="1">
      <alignment vertical="center" shrinkToFit="1"/>
    </xf>
    <xf numFmtId="181" fontId="14" fillId="0" borderId="1" xfId="2" applyNumberFormat="1" applyFont="1" applyBorder="1" applyAlignment="1" applyProtection="1">
      <alignment horizontal="right" vertical="center" shrinkToFit="1"/>
    </xf>
    <xf numFmtId="181" fontId="14" fillId="0" borderId="28" xfId="2" applyNumberFormat="1" applyFont="1" applyBorder="1" applyAlignment="1" applyProtection="1">
      <alignment horizontal="right" vertical="center" shrinkToFit="1"/>
    </xf>
    <xf numFmtId="181" fontId="15" fillId="0" borderId="34" xfId="2" applyNumberFormat="1" applyFont="1" applyBorder="1" applyAlignment="1" applyProtection="1">
      <alignment horizontal="right" vertical="center" shrinkToFit="1"/>
    </xf>
    <xf numFmtId="180" fontId="12" fillId="4" borderId="0" xfId="0" applyNumberFormat="1" applyFont="1" applyFill="1" applyAlignment="1" applyProtection="1">
      <alignment horizontal="center" vertical="center"/>
      <protection locked="0"/>
    </xf>
    <xf numFmtId="9" fontId="12" fillId="4" borderId="8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vertical="center" shrinkToFit="1"/>
      <protection hidden="1"/>
    </xf>
    <xf numFmtId="38" fontId="13" fillId="0" borderId="1" xfId="1" applyFont="1" applyFill="1" applyBorder="1" applyAlignment="1" applyProtection="1">
      <alignment vertical="center" shrinkToFit="1"/>
      <protection hidden="1"/>
    </xf>
    <xf numFmtId="181" fontId="14" fillId="0" borderId="1" xfId="2" applyNumberFormat="1" applyFont="1" applyFill="1" applyBorder="1" applyAlignment="1" applyProtection="1">
      <alignment horizontal="right" vertical="center" shrinkToFit="1"/>
      <protection hidden="1"/>
    </xf>
    <xf numFmtId="38" fontId="13" fillId="0" borderId="11" xfId="1" applyFont="1" applyFill="1" applyBorder="1" applyAlignment="1" applyProtection="1">
      <alignment vertical="center" shrinkToFit="1"/>
      <protection hidden="1"/>
    </xf>
    <xf numFmtId="38" fontId="13" fillId="0" borderId="28" xfId="1" applyFont="1" applyFill="1" applyBorder="1" applyAlignment="1" applyProtection="1">
      <alignment vertical="center" shrinkToFit="1"/>
      <protection hidden="1"/>
    </xf>
    <xf numFmtId="181" fontId="14" fillId="0" borderId="28" xfId="2" applyNumberFormat="1" applyFont="1" applyFill="1" applyBorder="1" applyAlignment="1" applyProtection="1">
      <alignment horizontal="right" vertical="center" shrinkToFit="1"/>
      <protection hidden="1"/>
    </xf>
    <xf numFmtId="38" fontId="13" fillId="0" borderId="30" xfId="1" applyFont="1" applyFill="1" applyBorder="1" applyAlignment="1" applyProtection="1">
      <alignment vertical="center" shrinkToFit="1"/>
      <protection hidden="1"/>
    </xf>
    <xf numFmtId="38" fontId="17" fillId="0" borderId="34" xfId="1" applyFont="1" applyFill="1" applyBorder="1" applyAlignment="1" applyProtection="1">
      <alignment vertical="center" shrinkToFit="1"/>
      <protection hidden="1"/>
    </xf>
    <xf numFmtId="181" fontId="15" fillId="0" borderId="34" xfId="2" applyNumberFormat="1" applyFont="1" applyFill="1" applyBorder="1" applyAlignment="1" applyProtection="1">
      <alignment horizontal="right" vertical="center" shrinkToFit="1"/>
      <protection hidden="1"/>
    </xf>
    <xf numFmtId="38" fontId="17" fillId="0" borderId="14" xfId="1" applyFont="1" applyFill="1" applyBorder="1" applyAlignment="1" applyProtection="1">
      <alignment vertical="center" shrinkToFit="1"/>
      <protection hidden="1"/>
    </xf>
    <xf numFmtId="38" fontId="20" fillId="2" borderId="22" xfId="1" applyFont="1" applyFill="1" applyBorder="1" applyAlignment="1" applyProtection="1">
      <alignment vertical="center"/>
      <protection hidden="1"/>
    </xf>
    <xf numFmtId="0" fontId="12" fillId="2" borderId="19" xfId="0" applyFont="1" applyFill="1" applyBorder="1" applyAlignment="1" applyProtection="1">
      <alignment horizontal="left" vertical="center"/>
      <protection hidden="1"/>
    </xf>
    <xf numFmtId="9" fontId="12" fillId="2" borderId="81" xfId="0" applyNumberFormat="1" applyFont="1" applyFill="1" applyBorder="1" applyAlignment="1">
      <alignment horizontal="center" vertical="center" shrinkToFit="1"/>
    </xf>
    <xf numFmtId="0" fontId="18" fillId="2" borderId="23" xfId="0" applyFont="1" applyFill="1" applyBorder="1" applyAlignment="1">
      <alignment horizontal="center" vertical="center"/>
    </xf>
    <xf numFmtId="0" fontId="18" fillId="4" borderId="0" xfId="0" applyFont="1" applyFill="1" applyAlignment="1" applyProtection="1">
      <alignment horizontal="left" shrinkToFit="1"/>
      <protection locked="0"/>
    </xf>
    <xf numFmtId="0" fontId="12" fillId="4" borderId="0" xfId="0" applyFont="1" applyFill="1" applyAlignment="1" applyProtection="1">
      <alignment horizontal="left" shrinkToFit="1"/>
      <protection locked="0"/>
    </xf>
    <xf numFmtId="0" fontId="12" fillId="0" borderId="16" xfId="0" applyFont="1" applyBorder="1" applyAlignment="1" applyProtection="1">
      <alignment vertical="center" shrinkToFit="1"/>
      <protection hidden="1"/>
    </xf>
    <xf numFmtId="0" fontId="12" fillId="0" borderId="17" xfId="0" applyFont="1" applyBorder="1" applyAlignment="1" applyProtection="1">
      <alignment vertical="center" shrinkToFit="1"/>
      <protection hidden="1"/>
    </xf>
    <xf numFmtId="0" fontId="12" fillId="4" borderId="0" xfId="0" applyFont="1" applyFill="1" applyAlignment="1" applyProtection="1">
      <alignment horizontal="left" vertical="center" shrinkToFit="1"/>
      <protection locked="0"/>
    </xf>
    <xf numFmtId="0" fontId="12" fillId="5" borderId="8" xfId="0" applyFont="1" applyFill="1" applyBorder="1" applyAlignment="1">
      <alignment horizontal="center" vertical="center" textRotation="255"/>
    </xf>
    <xf numFmtId="0" fontId="12" fillId="5" borderId="30" xfId="0" applyFont="1" applyFill="1" applyBorder="1" applyAlignment="1">
      <alignment horizontal="center" vertical="center" textRotation="255"/>
    </xf>
    <xf numFmtId="0" fontId="12" fillId="2" borderId="39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20" fillId="5" borderId="22" xfId="0" applyFont="1" applyFill="1" applyBorder="1" applyAlignment="1">
      <alignment horizontal="center" vertical="center"/>
    </xf>
    <xf numFmtId="0" fontId="20" fillId="5" borderId="7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38" fontId="17" fillId="0" borderId="19" xfId="1" applyFont="1" applyFill="1" applyBorder="1" applyAlignment="1" applyProtection="1">
      <alignment vertical="center" shrinkToFit="1"/>
      <protection hidden="1"/>
    </xf>
    <xf numFmtId="38" fontId="17" fillId="0" borderId="40" xfId="1" applyFont="1" applyFill="1" applyBorder="1" applyAlignment="1" applyProtection="1">
      <alignment vertical="center" shrinkToFit="1"/>
      <protection hidden="1"/>
    </xf>
    <xf numFmtId="38" fontId="17" fillId="0" borderId="88" xfId="1" applyFont="1" applyFill="1" applyBorder="1" applyAlignment="1" applyProtection="1">
      <alignment vertical="center" shrinkToFit="1"/>
      <protection hidden="1"/>
    </xf>
    <xf numFmtId="38" fontId="17" fillId="0" borderId="31" xfId="1" applyFont="1" applyFill="1" applyBorder="1" applyAlignment="1" applyProtection="1">
      <alignment vertical="center" shrinkToFit="1"/>
      <protection hidden="1"/>
    </xf>
    <xf numFmtId="38" fontId="17" fillId="0" borderId="82" xfId="1" applyFont="1" applyFill="1" applyBorder="1" applyAlignment="1" applyProtection="1">
      <alignment vertical="center" shrinkToFit="1"/>
      <protection hidden="1"/>
    </xf>
    <xf numFmtId="38" fontId="17" fillId="0" borderId="18" xfId="1" applyFont="1" applyFill="1" applyBorder="1" applyAlignment="1" applyProtection="1">
      <alignment vertical="center" shrinkToFit="1"/>
      <protection hidden="1"/>
    </xf>
    <xf numFmtId="0" fontId="12" fillId="5" borderId="1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38" fontId="17" fillId="2" borderId="39" xfId="0" applyNumberFormat="1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38" fontId="17" fillId="0" borderId="80" xfId="1" applyFont="1" applyBorder="1" applyAlignment="1" applyProtection="1">
      <alignment vertical="center" shrinkToFit="1"/>
      <protection hidden="1"/>
    </xf>
    <xf numFmtId="38" fontId="17" fillId="0" borderId="38" xfId="1" applyFont="1" applyBorder="1" applyAlignment="1" applyProtection="1">
      <alignment vertical="center" shrinkToFit="1"/>
      <protection hidden="1"/>
    </xf>
    <xf numFmtId="38" fontId="17" fillId="0" borderId="13" xfId="1" applyFont="1" applyFill="1" applyBorder="1" applyAlignment="1" applyProtection="1">
      <alignment vertical="center" shrinkToFit="1"/>
      <protection hidden="1"/>
    </xf>
    <xf numFmtId="38" fontId="13" fillId="0" borderId="29" xfId="1" applyFont="1" applyFill="1" applyBorder="1" applyAlignment="1" applyProtection="1">
      <alignment vertical="center" shrinkToFit="1"/>
      <protection hidden="1"/>
    </xf>
    <xf numFmtId="38" fontId="13" fillId="0" borderId="31" xfId="1" applyFont="1" applyFill="1" applyBorder="1" applyAlignment="1" applyProtection="1">
      <alignment vertical="center" shrinkToFit="1"/>
      <protection hidden="1"/>
    </xf>
    <xf numFmtId="38" fontId="13" fillId="0" borderId="9" xfId="1" applyFont="1" applyFill="1" applyBorder="1" applyAlignment="1" applyProtection="1">
      <alignment vertical="center" shrinkToFit="1"/>
      <protection hidden="1"/>
    </xf>
    <xf numFmtId="38" fontId="13" fillId="0" borderId="18" xfId="1" applyFont="1" applyFill="1" applyBorder="1" applyAlignment="1" applyProtection="1">
      <alignment vertical="center" shrinkToFit="1"/>
      <protection hidden="1"/>
    </xf>
    <xf numFmtId="0" fontId="12" fillId="2" borderId="9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6" borderId="2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0" fontId="12" fillId="0" borderId="9" xfId="0" applyFont="1" applyBorder="1" applyAlignment="1" applyProtection="1">
      <alignment vertical="center" shrinkToFit="1"/>
      <protection hidden="1"/>
    </xf>
    <xf numFmtId="0" fontId="12" fillId="0" borderId="18" xfId="0" applyFont="1" applyBorder="1" applyAlignment="1" applyProtection="1">
      <alignment vertical="center" shrinkToFit="1"/>
      <protection hidden="1"/>
    </xf>
    <xf numFmtId="177" fontId="13" fillId="0" borderId="44" xfId="0" applyNumberFormat="1" applyFont="1" applyBorder="1" applyAlignment="1" applyProtection="1">
      <alignment horizontal="center" vertical="center"/>
      <protection hidden="1"/>
    </xf>
    <xf numFmtId="177" fontId="13" fillId="0" borderId="38" xfId="0" applyNumberFormat="1" applyFont="1" applyBorder="1" applyAlignment="1" applyProtection="1">
      <alignment horizontal="center" vertical="center"/>
      <protection hidden="1"/>
    </xf>
    <xf numFmtId="177" fontId="13" fillId="2" borderId="44" xfId="0" applyNumberFormat="1" applyFont="1" applyFill="1" applyBorder="1" applyAlignment="1">
      <alignment horizontal="center" vertical="center"/>
    </xf>
    <xf numFmtId="177" fontId="13" fillId="2" borderId="3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shrinkToFit="1"/>
    </xf>
    <xf numFmtId="0" fontId="12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shrinkToFit="1"/>
    </xf>
    <xf numFmtId="0" fontId="12" fillId="2" borderId="16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0" fontId="18" fillId="2" borderId="0" xfId="0" applyFont="1" applyFill="1" applyAlignment="1">
      <alignment horizontal="left" vertical="top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79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8" fillId="0" borderId="9" xfId="0" applyFont="1" applyBorder="1" applyAlignment="1" applyProtection="1">
      <alignment vertical="center" shrinkToFit="1"/>
      <protection hidden="1"/>
    </xf>
    <xf numFmtId="0" fontId="12" fillId="0" borderId="10" xfId="0" applyFont="1" applyBorder="1" applyAlignment="1" applyProtection="1">
      <alignment vertical="center" shrinkToFit="1"/>
      <protection hidden="1"/>
    </xf>
    <xf numFmtId="0" fontId="12" fillId="0" borderId="7" xfId="0" applyFont="1" applyBorder="1" applyAlignment="1" applyProtection="1">
      <alignment vertical="center" shrinkToFit="1"/>
      <protection hidden="1"/>
    </xf>
    <xf numFmtId="0" fontId="18" fillId="4" borderId="12" xfId="0" applyFont="1" applyFill="1" applyBorder="1" applyAlignment="1" applyProtection="1">
      <alignment vertical="center" shrinkToFit="1"/>
      <protection locked="0"/>
    </xf>
    <xf numFmtId="0" fontId="12" fillId="4" borderId="12" xfId="0" applyFont="1" applyFill="1" applyBorder="1" applyAlignment="1" applyProtection="1">
      <alignment vertical="center" shrinkToFit="1"/>
      <protection locked="0"/>
    </xf>
    <xf numFmtId="0" fontId="12" fillId="4" borderId="27" xfId="0" applyFont="1" applyFill="1" applyBorder="1" applyAlignment="1" applyProtection="1">
      <alignment vertical="center" shrinkToFit="1"/>
      <protection locked="0"/>
    </xf>
    <xf numFmtId="5" fontId="17" fillId="0" borderId="0" xfId="0" applyNumberFormat="1" applyFont="1" applyAlignment="1" applyProtection="1">
      <alignment vertical="center" shrinkToFit="1"/>
      <protection hidden="1"/>
    </xf>
    <xf numFmtId="5" fontId="17" fillId="0" borderId="25" xfId="0" applyNumberFormat="1" applyFont="1" applyBorder="1" applyAlignment="1" applyProtection="1">
      <alignment vertical="center" shrinkToFit="1"/>
      <protection hidden="1"/>
    </xf>
    <xf numFmtId="5" fontId="17" fillId="0" borderId="14" xfId="0" applyNumberFormat="1" applyFont="1" applyBorder="1" applyAlignment="1" applyProtection="1">
      <alignment vertical="center" shrinkToFit="1"/>
      <protection hidden="1"/>
    </xf>
    <xf numFmtId="5" fontId="17" fillId="0" borderId="40" xfId="0" applyNumberFormat="1" applyFont="1" applyBorder="1" applyAlignment="1" applyProtection="1">
      <alignment vertical="center" shrinkToFit="1"/>
      <protection hidden="1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12" fillId="4" borderId="11" xfId="0" applyFont="1" applyFill="1" applyBorder="1" applyAlignment="1" applyProtection="1">
      <alignment vertical="center" shrinkToFit="1"/>
      <protection locked="0"/>
    </xf>
    <xf numFmtId="0" fontId="18" fillId="4" borderId="0" xfId="0" applyFont="1" applyFill="1" applyAlignment="1" applyProtection="1">
      <alignment horizontal="left" vertical="top" shrinkToFit="1"/>
      <protection locked="0"/>
    </xf>
    <xf numFmtId="0" fontId="12" fillId="4" borderId="0" xfId="0" applyFont="1" applyFill="1" applyAlignment="1" applyProtection="1">
      <alignment horizontal="left" vertical="top" shrinkToFit="1"/>
      <protection locked="0"/>
    </xf>
    <xf numFmtId="38" fontId="13" fillId="2" borderId="9" xfId="1" applyFont="1" applyFill="1" applyBorder="1" applyAlignment="1" applyProtection="1">
      <alignment vertical="center" shrinkToFit="1"/>
    </xf>
    <xf numFmtId="38" fontId="13" fillId="2" borderId="18" xfId="1" applyFont="1" applyFill="1" applyBorder="1" applyAlignment="1" applyProtection="1">
      <alignment vertical="center" shrinkToFit="1"/>
    </xf>
    <xf numFmtId="38" fontId="17" fillId="4" borderId="82" xfId="1" applyFont="1" applyFill="1" applyBorder="1" applyAlignment="1" applyProtection="1">
      <alignment vertical="center" shrinkToFit="1"/>
    </xf>
    <xf numFmtId="38" fontId="17" fillId="4" borderId="18" xfId="1" applyFont="1" applyFill="1" applyBorder="1" applyAlignment="1" applyProtection="1">
      <alignment vertical="center" shrinkToFit="1"/>
    </xf>
    <xf numFmtId="0" fontId="12" fillId="2" borderId="7" xfId="0" applyFont="1" applyFill="1" applyBorder="1" applyAlignment="1">
      <alignment vertical="top" shrinkToFit="1"/>
    </xf>
    <xf numFmtId="0" fontId="12" fillId="4" borderId="7" xfId="0" applyFont="1" applyFill="1" applyBorder="1" applyAlignment="1" applyProtection="1">
      <alignment vertical="top" shrinkToFit="1"/>
      <protection locked="0"/>
    </xf>
    <xf numFmtId="0" fontId="20" fillId="6" borderId="22" xfId="0" applyFont="1" applyFill="1" applyBorder="1" applyAlignment="1">
      <alignment horizontal="center" vertical="center"/>
    </xf>
    <xf numFmtId="0" fontId="20" fillId="6" borderId="78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20" fillId="6" borderId="8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5" fontId="17" fillId="4" borderId="0" xfId="0" applyNumberFormat="1" applyFont="1" applyFill="1" applyAlignment="1">
      <alignment vertical="center" shrinkToFit="1"/>
    </xf>
    <xf numFmtId="5" fontId="17" fillId="4" borderId="25" xfId="0" applyNumberFormat="1" applyFont="1" applyFill="1" applyBorder="1" applyAlignment="1">
      <alignment vertical="center" shrinkToFit="1"/>
    </xf>
    <xf numFmtId="5" fontId="17" fillId="4" borderId="14" xfId="0" applyNumberFormat="1" applyFont="1" applyFill="1" applyBorder="1" applyAlignment="1">
      <alignment vertical="center" shrinkToFit="1"/>
    </xf>
    <xf numFmtId="5" fontId="17" fillId="4" borderId="40" xfId="0" applyNumberFormat="1" applyFont="1" applyFill="1" applyBorder="1" applyAlignment="1">
      <alignment vertical="center" shrinkToFit="1"/>
    </xf>
    <xf numFmtId="38" fontId="13" fillId="2" borderId="29" xfId="1" applyFont="1" applyFill="1" applyBorder="1" applyAlignment="1" applyProtection="1">
      <alignment vertical="center" shrinkToFit="1"/>
    </xf>
    <xf numFmtId="38" fontId="13" fillId="2" borderId="31" xfId="1" applyFont="1" applyFill="1" applyBorder="1" applyAlignment="1" applyProtection="1">
      <alignment vertical="center" shrinkToFit="1"/>
    </xf>
    <xf numFmtId="38" fontId="17" fillId="4" borderId="88" xfId="1" applyFont="1" applyFill="1" applyBorder="1" applyAlignment="1" applyProtection="1">
      <alignment vertical="center" shrinkToFit="1"/>
    </xf>
    <xf numFmtId="38" fontId="17" fillId="4" borderId="31" xfId="1" applyFont="1" applyFill="1" applyBorder="1" applyAlignment="1" applyProtection="1">
      <alignment vertical="center" shrinkToFit="1"/>
    </xf>
    <xf numFmtId="38" fontId="17" fillId="2" borderId="13" xfId="1" applyFont="1" applyFill="1" applyBorder="1" applyAlignment="1" applyProtection="1">
      <alignment vertical="center" shrinkToFit="1"/>
    </xf>
    <xf numFmtId="38" fontId="17" fillId="2" borderId="40" xfId="1" applyFont="1" applyFill="1" applyBorder="1" applyAlignment="1" applyProtection="1">
      <alignment vertical="center" shrinkToFit="1"/>
    </xf>
    <xf numFmtId="38" fontId="17" fillId="4" borderId="19" xfId="1" applyFont="1" applyFill="1" applyBorder="1" applyAlignment="1" applyProtection="1">
      <alignment vertical="center" shrinkToFit="1"/>
    </xf>
    <xf numFmtId="38" fontId="17" fillId="4" borderId="40" xfId="1" applyFont="1" applyFill="1" applyBorder="1" applyAlignment="1" applyProtection="1">
      <alignment vertical="center" shrinkToFit="1"/>
    </xf>
    <xf numFmtId="0" fontId="18" fillId="2" borderId="12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27" xfId="0" applyFont="1" applyFill="1" applyBorder="1" applyAlignment="1">
      <alignment vertical="center" shrinkToFit="1"/>
    </xf>
    <xf numFmtId="38" fontId="17" fillId="4" borderId="80" xfId="1" applyFont="1" applyFill="1" applyBorder="1" applyAlignment="1" applyProtection="1">
      <alignment vertical="center" shrinkToFit="1"/>
    </xf>
    <xf numFmtId="38" fontId="17" fillId="4" borderId="38" xfId="1" applyFont="1" applyFill="1" applyBorder="1" applyAlignment="1" applyProtection="1">
      <alignment vertical="center" shrinkToFit="1"/>
    </xf>
    <xf numFmtId="0" fontId="12" fillId="6" borderId="12" xfId="0" applyFont="1" applyFill="1" applyBorder="1" applyAlignment="1">
      <alignment horizontal="center" vertical="center" textRotation="255"/>
    </xf>
    <xf numFmtId="0" fontId="12" fillId="6" borderId="28" xfId="0" applyFont="1" applyFill="1" applyBorder="1" applyAlignment="1">
      <alignment horizontal="center" vertical="center" textRotation="255"/>
    </xf>
    <xf numFmtId="0" fontId="1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2" fillId="2" borderId="16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8" fillId="2" borderId="7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0" fontId="12" fillId="2" borderId="9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textRotation="255"/>
    </xf>
    <xf numFmtId="0" fontId="12" fillId="3" borderId="28" xfId="0" applyFont="1" applyFill="1" applyBorder="1" applyAlignment="1">
      <alignment horizontal="center" vertical="center" textRotation="255"/>
    </xf>
    <xf numFmtId="0" fontId="12" fillId="2" borderId="4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5" fontId="17" fillId="0" borderId="4" xfId="0" applyNumberFormat="1" applyFont="1" applyBorder="1">
      <alignment vertical="center"/>
    </xf>
    <xf numFmtId="5" fontId="17" fillId="0" borderId="25" xfId="0" applyNumberFormat="1" applyFont="1" applyBorder="1">
      <alignment vertical="center"/>
    </xf>
    <xf numFmtId="5" fontId="17" fillId="0" borderId="13" xfId="0" applyNumberFormat="1" applyFont="1" applyBorder="1">
      <alignment vertical="center"/>
    </xf>
    <xf numFmtId="5" fontId="17" fillId="0" borderId="40" xfId="0" applyNumberFormat="1" applyFont="1" applyBorder="1">
      <alignment vertical="center"/>
    </xf>
    <xf numFmtId="38" fontId="17" fillId="0" borderId="29" xfId="1" applyFont="1" applyBorder="1" applyAlignment="1" applyProtection="1">
      <alignment vertical="center"/>
    </xf>
    <xf numFmtId="38" fontId="17" fillId="0" borderId="31" xfId="1" applyFont="1" applyBorder="1" applyAlignment="1" applyProtection="1">
      <alignment vertical="center"/>
    </xf>
    <xf numFmtId="38" fontId="17" fillId="0" borderId="14" xfId="1" applyFont="1" applyBorder="1" applyAlignment="1" applyProtection="1">
      <alignment vertical="center"/>
    </xf>
    <xf numFmtId="38" fontId="17" fillId="0" borderId="21" xfId="1" applyFont="1" applyBorder="1" applyAlignment="1" applyProtection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38" fontId="17" fillId="0" borderId="32" xfId="1" applyFont="1" applyBorder="1" applyAlignment="1" applyProtection="1">
      <alignment vertical="center"/>
    </xf>
    <xf numFmtId="38" fontId="17" fillId="0" borderId="38" xfId="1" applyFont="1" applyBorder="1" applyAlignment="1" applyProtection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177" fontId="13" fillId="0" borderId="44" xfId="0" applyNumberFormat="1" applyFont="1" applyBorder="1" applyAlignment="1">
      <alignment horizontal="center" vertical="center"/>
    </xf>
    <xf numFmtId="177" fontId="13" fillId="0" borderId="38" xfId="0" applyNumberFormat="1" applyFont="1" applyBorder="1" applyAlignment="1">
      <alignment horizontal="center" vertical="center"/>
    </xf>
    <xf numFmtId="0" fontId="12" fillId="0" borderId="16" xfId="0" applyFont="1" applyBorder="1" applyProtection="1">
      <alignment vertical="center"/>
      <protection locked="0"/>
    </xf>
    <xf numFmtId="0" fontId="12" fillId="0" borderId="17" xfId="0" applyFont="1" applyBorder="1" applyProtection="1">
      <alignment vertical="center"/>
      <protection locked="0"/>
    </xf>
    <xf numFmtId="38" fontId="13" fillId="0" borderId="9" xfId="1" applyFont="1" applyFill="1" applyBorder="1" applyAlignment="1" applyProtection="1">
      <alignment vertical="center"/>
      <protection locked="0"/>
    </xf>
    <xf numFmtId="38" fontId="13" fillId="0" borderId="18" xfId="1" applyFont="1" applyFill="1" applyBorder="1" applyAlignment="1" applyProtection="1">
      <alignment vertical="center"/>
      <protection locked="0"/>
    </xf>
    <xf numFmtId="38" fontId="17" fillId="0" borderId="82" xfId="1" applyFont="1" applyFill="1" applyBorder="1" applyAlignment="1" applyProtection="1">
      <alignment vertical="center"/>
      <protection locked="0"/>
    </xf>
    <xf numFmtId="38" fontId="17" fillId="0" borderId="18" xfId="1" applyFont="1" applyFill="1" applyBorder="1" applyAlignment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2" fillId="4" borderId="7" xfId="0" applyFont="1" applyFill="1" applyBorder="1" applyAlignment="1">
      <alignment vertical="top" shrinkToFit="1"/>
    </xf>
    <xf numFmtId="0" fontId="18" fillId="0" borderId="9" xfId="0" applyFont="1" applyBorder="1" applyProtection="1">
      <alignment vertical="center"/>
      <protection locked="0"/>
    </xf>
    <xf numFmtId="0" fontId="12" fillId="0" borderId="10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18" fillId="4" borderId="1" xfId="0" applyFont="1" applyFill="1" applyBorder="1" applyProtection="1">
      <alignment vertical="center"/>
      <protection locked="0"/>
    </xf>
    <xf numFmtId="0" fontId="12" fillId="4" borderId="1" xfId="0" applyFont="1" applyFill="1" applyBorder="1" applyProtection="1">
      <alignment vertical="center"/>
      <protection locked="0"/>
    </xf>
    <xf numFmtId="0" fontId="12" fillId="4" borderId="24" xfId="0" applyFont="1" applyFill="1" applyBorder="1" applyProtection="1">
      <alignment vertical="center"/>
      <protection locked="0"/>
    </xf>
    <xf numFmtId="38" fontId="17" fillId="0" borderId="80" xfId="1" applyFont="1" applyBorder="1" applyAlignment="1" applyProtection="1">
      <alignment vertical="center"/>
    </xf>
    <xf numFmtId="0" fontId="12" fillId="2" borderId="7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4" borderId="9" xfId="0" applyFont="1" applyFill="1" applyBorder="1" applyAlignment="1" applyProtection="1">
      <alignment vertical="center" wrapText="1"/>
      <protection locked="0"/>
    </xf>
    <xf numFmtId="0" fontId="12" fillId="4" borderId="11" xfId="0" applyFont="1" applyFill="1" applyBorder="1" applyAlignment="1" applyProtection="1">
      <alignment vertical="center" wrapText="1"/>
      <protection locked="0"/>
    </xf>
    <xf numFmtId="5" fontId="17" fillId="0" borderId="0" xfId="0" applyNumberFormat="1" applyFont="1">
      <alignment vertical="center"/>
    </xf>
    <xf numFmtId="5" fontId="17" fillId="0" borderId="14" xfId="0" applyNumberFormat="1" applyFont="1" applyBorder="1">
      <alignment vertical="center"/>
    </xf>
    <xf numFmtId="38" fontId="17" fillId="0" borderId="29" xfId="1" applyFont="1" applyFill="1" applyBorder="1" applyAlignment="1" applyProtection="1">
      <alignment vertical="center"/>
    </xf>
    <xf numFmtId="38" fontId="17" fillId="0" borderId="31" xfId="1" applyFont="1" applyFill="1" applyBorder="1" applyAlignment="1" applyProtection="1">
      <alignment vertical="center"/>
    </xf>
    <xf numFmtId="38" fontId="17" fillId="0" borderId="19" xfId="1" applyFont="1" applyFill="1" applyBorder="1" applyAlignment="1" applyProtection="1">
      <alignment vertical="center"/>
    </xf>
    <xf numFmtId="38" fontId="17" fillId="0" borderId="40" xfId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22" fillId="2" borderId="0" xfId="0" applyFont="1" applyFill="1" applyAlignment="1" applyProtection="1">
      <alignment horizontal="left" shrinkToFit="1"/>
      <protection locked="0"/>
    </xf>
    <xf numFmtId="0" fontId="18" fillId="2" borderId="0" xfId="0" applyFont="1" applyFill="1" applyAlignment="1" applyProtection="1">
      <alignment horizontal="left" shrinkToFit="1"/>
      <protection locked="0"/>
    </xf>
    <xf numFmtId="0" fontId="12" fillId="2" borderId="16" xfId="0" applyFont="1" applyFill="1" applyBorder="1" applyProtection="1">
      <alignment vertical="center"/>
      <protection locked="0"/>
    </xf>
    <xf numFmtId="0" fontId="12" fillId="2" borderId="17" xfId="0" applyFont="1" applyFill="1" applyBorder="1" applyProtection="1">
      <alignment vertical="center"/>
      <protection locked="0"/>
    </xf>
    <xf numFmtId="38" fontId="13" fillId="2" borderId="9" xfId="1" applyFont="1" applyFill="1" applyBorder="1" applyAlignment="1" applyProtection="1">
      <alignment vertical="center"/>
      <protection locked="0"/>
    </xf>
    <xf numFmtId="38" fontId="13" fillId="2" borderId="18" xfId="1" applyFont="1" applyFill="1" applyBorder="1" applyAlignment="1" applyProtection="1">
      <alignment vertical="center"/>
      <protection locked="0"/>
    </xf>
    <xf numFmtId="38" fontId="17" fillId="4" borderId="82" xfId="1" applyFont="1" applyFill="1" applyBorder="1" applyAlignment="1" applyProtection="1">
      <alignment vertical="center"/>
      <protection locked="0"/>
    </xf>
    <xf numFmtId="38" fontId="17" fillId="4" borderId="18" xfId="1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left" vertical="top" shrinkToFit="1"/>
      <protection locked="0"/>
    </xf>
    <xf numFmtId="0" fontId="12" fillId="2" borderId="0" xfId="0" applyFont="1" applyFill="1" applyAlignment="1" applyProtection="1">
      <alignment horizontal="left" vertical="top" shrinkToFit="1"/>
      <protection locked="0"/>
    </xf>
    <xf numFmtId="0" fontId="12" fillId="2" borderId="9" xfId="0" applyFont="1" applyFill="1" applyBorder="1" applyProtection="1">
      <alignment vertical="center"/>
      <protection locked="0"/>
    </xf>
    <xf numFmtId="0" fontId="12" fillId="2" borderId="18" xfId="0" applyFont="1" applyFill="1" applyBorder="1" applyProtection="1">
      <alignment vertical="center"/>
      <protection locked="0"/>
    </xf>
    <xf numFmtId="0" fontId="18" fillId="2" borderId="9" xfId="0" applyFont="1" applyFill="1" applyBorder="1" applyProtection="1">
      <alignment vertical="center"/>
      <protection locked="0"/>
    </xf>
    <xf numFmtId="0" fontId="12" fillId="2" borderId="10" xfId="0" applyFont="1" applyFill="1" applyBorder="1" applyProtection="1">
      <alignment vertical="center"/>
      <protection locked="0"/>
    </xf>
    <xf numFmtId="0" fontId="12" fillId="2" borderId="7" xfId="0" applyFont="1" applyFill="1" applyBorder="1" applyProtection="1">
      <alignment vertical="center"/>
      <protection locked="0"/>
    </xf>
    <xf numFmtId="0" fontId="18" fillId="2" borderId="1" xfId="0" applyFont="1" applyFill="1" applyBorder="1" applyProtection="1">
      <alignment vertical="center"/>
      <protection locked="0"/>
    </xf>
    <xf numFmtId="0" fontId="12" fillId="2" borderId="1" xfId="0" applyFont="1" applyFill="1" applyBorder="1" applyProtection="1">
      <alignment vertical="center"/>
      <protection locked="0"/>
    </xf>
    <xf numFmtId="0" fontId="12" fillId="2" borderId="24" xfId="0" applyFont="1" applyFill="1" applyBorder="1" applyProtection="1">
      <alignment vertical="center"/>
      <protection locked="0"/>
    </xf>
    <xf numFmtId="38" fontId="17" fillId="4" borderId="80" xfId="1" applyFont="1" applyFill="1" applyBorder="1" applyAlignment="1" applyProtection="1">
      <alignment vertical="center"/>
    </xf>
    <xf numFmtId="38" fontId="17" fillId="4" borderId="38" xfId="1" applyFont="1" applyFill="1" applyBorder="1" applyAlignment="1" applyProtection="1">
      <alignment vertical="center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12" fillId="2" borderId="11" xfId="0" applyFont="1" applyFill="1" applyBorder="1" applyAlignment="1" applyProtection="1">
      <alignment vertical="center" wrapText="1"/>
      <protection locked="0"/>
    </xf>
    <xf numFmtId="5" fontId="17" fillId="4" borderId="0" xfId="0" applyNumberFormat="1" applyFont="1" applyFill="1">
      <alignment vertical="center"/>
    </xf>
    <xf numFmtId="5" fontId="17" fillId="4" borderId="25" xfId="0" applyNumberFormat="1" applyFont="1" applyFill="1" applyBorder="1">
      <alignment vertical="center"/>
    </xf>
    <xf numFmtId="5" fontId="17" fillId="4" borderId="14" xfId="0" applyNumberFormat="1" applyFont="1" applyFill="1" applyBorder="1">
      <alignment vertical="center"/>
    </xf>
    <xf numFmtId="5" fontId="17" fillId="4" borderId="40" xfId="0" applyNumberFormat="1" applyFont="1" applyFill="1" applyBorder="1">
      <alignment vertical="center"/>
    </xf>
    <xf numFmtId="38" fontId="17" fillId="2" borderId="29" xfId="1" applyFont="1" applyFill="1" applyBorder="1" applyAlignment="1" applyProtection="1">
      <alignment vertical="center"/>
    </xf>
    <xf numFmtId="38" fontId="17" fillId="2" borderId="31" xfId="1" applyFont="1" applyFill="1" applyBorder="1" applyAlignment="1" applyProtection="1">
      <alignment vertical="center"/>
    </xf>
    <xf numFmtId="38" fontId="17" fillId="4" borderId="19" xfId="1" applyFont="1" applyFill="1" applyBorder="1" applyAlignment="1" applyProtection="1">
      <alignment vertical="center"/>
    </xf>
    <xf numFmtId="38" fontId="17" fillId="4" borderId="40" xfId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8" fillId="2" borderId="7" xfId="0" applyFont="1" applyFill="1" applyBorder="1" applyAlignment="1" applyProtection="1">
      <alignment horizontal="left" vertical="top"/>
      <protection locked="0"/>
    </xf>
    <xf numFmtId="0" fontId="12" fillId="2" borderId="7" xfId="0" applyFont="1" applyFill="1" applyBorder="1" applyAlignment="1" applyProtection="1">
      <alignment horizontal="left" vertical="top"/>
      <protection locked="0"/>
    </xf>
    <xf numFmtId="38" fontId="13" fillId="2" borderId="11" xfId="1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right" vertical="center" wrapText="1"/>
      <protection locked="0"/>
    </xf>
    <xf numFmtId="0" fontId="12" fillId="2" borderId="11" xfId="0" applyFont="1" applyFill="1" applyBorder="1" applyAlignment="1" applyProtection="1">
      <alignment horizontal="right" vertical="center" wrapText="1"/>
      <protection locked="0"/>
    </xf>
    <xf numFmtId="0" fontId="3" fillId="0" borderId="6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</cellXfs>
  <cellStyles count="13">
    <cellStyle name="パーセント" xfId="2" builtinId="5"/>
    <cellStyle name="パーセント 2" xfId="4" xr:uid="{00000000-0005-0000-0000-000001000000}"/>
    <cellStyle name="桁区切り" xfId="1" builtinId="6"/>
    <cellStyle name="桁区切り 2" xfId="6" xr:uid="{00000000-0005-0000-0000-000003000000}"/>
    <cellStyle name="桁区切り 2 2" xfId="7" xr:uid="{00000000-0005-0000-0000-000004000000}"/>
    <cellStyle name="桁区切り 3" xfId="8" xr:uid="{00000000-0005-0000-0000-000005000000}"/>
    <cellStyle name="通貨 2" xfId="5" xr:uid="{00000000-0005-0000-0000-000006000000}"/>
    <cellStyle name="通貨 2 2" xfId="9" xr:uid="{00000000-0005-0000-0000-000007000000}"/>
    <cellStyle name="通貨 2 3" xfId="10" xr:uid="{00000000-0005-0000-0000-000008000000}"/>
    <cellStyle name="標準" xfId="0" builtinId="0"/>
    <cellStyle name="標準 2" xfId="3" xr:uid="{00000000-0005-0000-0000-00000A000000}"/>
    <cellStyle name="標準 2 2" xfId="11" xr:uid="{00000000-0005-0000-0000-00000B000000}"/>
    <cellStyle name="標準 3" xfId="12" xr:uid="{00000000-0005-0000-0000-00000C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44</xdr:row>
      <xdr:rowOff>211294</xdr:rowOff>
    </xdr:from>
    <xdr:to>
      <xdr:col>5</xdr:col>
      <xdr:colOff>753717</xdr:colOff>
      <xdr:row>47</xdr:row>
      <xdr:rowOff>49696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E89B2A63-F124-4F10-AD0F-DA3A4354156A}"/>
            </a:ext>
          </a:extLst>
        </xdr:cNvPr>
        <xdr:cNvGrpSpPr/>
      </xdr:nvGrpSpPr>
      <xdr:grpSpPr>
        <a:xfrm>
          <a:off x="1589509" y="10567567"/>
          <a:ext cx="3069458" cy="747606"/>
          <a:chOff x="1590262" y="10432033"/>
          <a:chExt cx="3072846" cy="732924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B8832A7A-7227-4054-9E11-E25BF90686AF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4951227-30E2-48AB-AFFC-7C9FD94738FB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2E1A4EFD-34F3-450D-8C70-D7824081C285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78FF0969-1D68-450B-8C04-39D111F062E5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B4221E2-20F5-416F-9DBA-2710A0187215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A1BE3BE-B58C-4787-A7AB-979C6F66418D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22D7DCB9-EE15-480E-B956-FC8A83DBF87C}"/>
              </a:ext>
            </a:extLst>
          </xdr:cNvPr>
          <xdr:cNvCxnSpPr>
            <a:stCxn id="18" idx="2"/>
            <a:endCxn id="14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81C9268E-17D7-4E59-9CC4-F1C54C78C4AB}"/>
              </a:ext>
            </a:extLst>
          </xdr:cNvPr>
          <xdr:cNvCxnSpPr>
            <a:stCxn id="19" idx="2"/>
            <a:endCxn id="15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2A013F01-DF6B-4F81-8CBF-9BAAFB35184F}"/>
              </a:ext>
            </a:extLst>
          </xdr:cNvPr>
          <xdr:cNvCxnSpPr>
            <a:stCxn id="20" idx="2"/>
            <a:endCxn id="17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273327</xdr:colOff>
      <xdr:row>68</xdr:row>
      <xdr:rowOff>0</xdr:rowOff>
    </xdr:from>
    <xdr:to>
      <xdr:col>5</xdr:col>
      <xdr:colOff>753717</xdr:colOff>
      <xdr:row>70</xdr:row>
      <xdr:rowOff>53750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C5E448CB-5460-4B72-9FCF-DFA93ADD4DE3}"/>
            </a:ext>
          </a:extLst>
        </xdr:cNvPr>
        <xdr:cNvGrpSpPr/>
      </xdr:nvGrpSpPr>
      <xdr:grpSpPr>
        <a:xfrm>
          <a:off x="1589509" y="11464636"/>
          <a:ext cx="3069458" cy="0"/>
          <a:chOff x="1590262" y="10432033"/>
          <a:chExt cx="3072846" cy="732924"/>
        </a:xfrm>
      </xdr:grpSpPr>
      <xdr:sp macro="" textlink="">
        <xdr:nvSpPr>
          <xdr:cNvPr id="78" name="正方形/長方形 77">
            <a:extLst>
              <a:ext uri="{FF2B5EF4-FFF2-40B4-BE49-F238E27FC236}">
                <a16:creationId xmlns:a16="http://schemas.microsoft.com/office/drawing/2014/main" id="{495A8CBE-2A8F-47A7-9EFB-8E037C367DEA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9" name="正方形/長方形 78">
            <a:extLst>
              <a:ext uri="{FF2B5EF4-FFF2-40B4-BE49-F238E27FC236}">
                <a16:creationId xmlns:a16="http://schemas.microsoft.com/office/drawing/2014/main" id="{A772186E-F14B-4234-AAFF-D1BD78369CA5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0" name="正方形/長方形 79">
            <a:extLst>
              <a:ext uri="{FF2B5EF4-FFF2-40B4-BE49-F238E27FC236}">
                <a16:creationId xmlns:a16="http://schemas.microsoft.com/office/drawing/2014/main" id="{16DC608E-6607-47AE-9920-0E9CD6A252CD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id="{6D4A217F-A67F-4DEA-9F3E-297488207E4E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2A869D01-D788-4E19-A7C5-848B874D31C5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1A1C1017-60C9-4A31-8858-6E776090D21A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84" name="直線コネクタ 83">
            <a:extLst>
              <a:ext uri="{FF2B5EF4-FFF2-40B4-BE49-F238E27FC236}">
                <a16:creationId xmlns:a16="http://schemas.microsoft.com/office/drawing/2014/main" id="{0146CD84-CE69-4231-B776-B884A0903A07}"/>
              </a:ext>
            </a:extLst>
          </xdr:cNvPr>
          <xdr:cNvCxnSpPr>
            <a:stCxn id="81" idx="2"/>
            <a:endCxn id="78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E2C1783D-60E0-4CA7-A0EB-37451CB4EAB1}"/>
              </a:ext>
            </a:extLst>
          </xdr:cNvPr>
          <xdr:cNvCxnSpPr>
            <a:stCxn id="82" idx="2"/>
            <a:endCxn id="79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774C8330-1D3B-43E4-AF4E-056938BDDE03}"/>
              </a:ext>
            </a:extLst>
          </xdr:cNvPr>
          <xdr:cNvCxnSpPr>
            <a:stCxn id="83" idx="2"/>
            <a:endCxn id="80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42</xdr:row>
      <xdr:rowOff>211294</xdr:rowOff>
    </xdr:from>
    <xdr:to>
      <xdr:col>5</xdr:col>
      <xdr:colOff>753717</xdr:colOff>
      <xdr:row>45</xdr:row>
      <xdr:rowOff>49696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F02607F-794D-4947-8337-CAEDA83EC564}"/>
            </a:ext>
          </a:extLst>
        </xdr:cNvPr>
        <xdr:cNvGrpSpPr/>
      </xdr:nvGrpSpPr>
      <xdr:grpSpPr>
        <a:xfrm>
          <a:off x="1590262" y="10432033"/>
          <a:ext cx="3072846" cy="732924"/>
          <a:chOff x="1590262" y="10432033"/>
          <a:chExt cx="3072846" cy="732924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2895AF6-BBE8-4D6A-9712-5056D8A64F3D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FC90F6AF-8568-4F7E-BE42-81B42A34F37D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1809C27-B148-4A73-BB20-0D35A7AFD4E6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E7143BA-4A2D-480E-9179-C6FCFC202384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0D3B73B-1314-4850-BEDC-406626A4A9B9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1A274AB7-71C3-4768-AEAE-C584EB0DAE6A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A804787D-809E-4128-BC95-863A5012D93B}"/>
              </a:ext>
            </a:extLst>
          </xdr:cNvPr>
          <xdr:cNvCxnSpPr>
            <a:stCxn id="7" idx="2"/>
            <a:endCxn id="4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5097F402-B948-4CE9-AB99-532A2C61E755}"/>
              </a:ext>
            </a:extLst>
          </xdr:cNvPr>
          <xdr:cNvCxnSpPr>
            <a:stCxn id="8" idx="2"/>
            <a:endCxn id="5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4DE7F681-1ECD-413D-9BB9-92FC0057ECDC}"/>
              </a:ext>
            </a:extLst>
          </xdr:cNvPr>
          <xdr:cNvCxnSpPr>
            <a:stCxn id="9" idx="2"/>
            <a:endCxn id="6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273327</xdr:colOff>
      <xdr:row>46</xdr:row>
      <xdr:rowOff>0</xdr:rowOff>
    </xdr:from>
    <xdr:to>
      <xdr:col>5</xdr:col>
      <xdr:colOff>753717</xdr:colOff>
      <xdr:row>46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7EC6DC5-21FF-4DDF-88F9-D4929D017634}"/>
            </a:ext>
          </a:extLst>
        </xdr:cNvPr>
        <xdr:cNvGrpSpPr/>
      </xdr:nvGrpSpPr>
      <xdr:grpSpPr>
        <a:xfrm>
          <a:off x="1590262" y="11297478"/>
          <a:ext cx="3072846" cy="0"/>
          <a:chOff x="1590262" y="10432033"/>
          <a:chExt cx="3072846" cy="732924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FE3C54B-5636-475C-9EE8-6643F0187B4D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EF9E3138-7F15-4021-AB1B-D8487477D898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2485FFC9-87D4-4AA4-BEC1-CD61E9874809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6EF7054D-23E5-41A0-AA23-524B076777A7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919F029D-028E-4B6D-9983-05F5DB96B8DA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188C0994-33E1-46BA-B42D-59517B9DC8B4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FD4B8765-AE23-481D-B4E1-2F2DAC13566E}"/>
              </a:ext>
            </a:extLst>
          </xdr:cNvPr>
          <xdr:cNvCxnSpPr>
            <a:stCxn id="17" idx="2"/>
            <a:endCxn id="14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6382A6D5-E832-4926-A471-88EB42C7B4F0}"/>
              </a:ext>
            </a:extLst>
          </xdr:cNvPr>
          <xdr:cNvCxnSpPr>
            <a:stCxn id="18" idx="2"/>
            <a:endCxn id="15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7E0C5F16-59DF-4FAA-BA3F-CD7AAC947A51}"/>
              </a:ext>
            </a:extLst>
          </xdr:cNvPr>
          <xdr:cNvCxnSpPr>
            <a:stCxn id="19" idx="2"/>
            <a:endCxn id="16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8283</xdr:colOff>
      <xdr:row>44</xdr:row>
      <xdr:rowOff>323022</xdr:rowOff>
    </xdr:from>
    <xdr:to>
      <xdr:col>10</xdr:col>
      <xdr:colOff>935935</xdr:colOff>
      <xdr:row>45</xdr:row>
      <xdr:rowOff>168965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CFEAB8EC-1456-4F8D-9E62-B025CBC0F3E0}"/>
            </a:ext>
          </a:extLst>
        </xdr:cNvPr>
        <xdr:cNvSpPr/>
      </xdr:nvSpPr>
      <xdr:spPr>
        <a:xfrm>
          <a:off x="7342533" y="11057697"/>
          <a:ext cx="927652" cy="18884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372718</xdr:colOff>
      <xdr:row>42</xdr:row>
      <xdr:rowOff>91109</xdr:rowOff>
    </xdr:from>
    <xdr:to>
      <xdr:col>10</xdr:col>
      <xdr:colOff>836544</xdr:colOff>
      <xdr:row>44</xdr:row>
      <xdr:rowOff>115957</xdr:rowOff>
    </xdr:to>
    <xdr:sp macro="" textlink="">
      <xdr:nvSpPr>
        <xdr:cNvPr id="38" name="吹き出し: 四角形 37">
          <a:extLst>
            <a:ext uri="{FF2B5EF4-FFF2-40B4-BE49-F238E27FC236}">
              <a16:creationId xmlns:a16="http://schemas.microsoft.com/office/drawing/2014/main" id="{FF3C6627-B4CC-4986-9899-9AD26E846437}"/>
            </a:ext>
          </a:extLst>
        </xdr:cNvPr>
        <xdr:cNvSpPr/>
      </xdr:nvSpPr>
      <xdr:spPr>
        <a:xfrm>
          <a:off x="6563968" y="10263809"/>
          <a:ext cx="1606826" cy="586823"/>
        </a:xfrm>
        <a:prstGeom prst="wedgeRectCallout">
          <a:avLst>
            <a:gd name="adj1" fmla="val 22956"/>
            <a:gd name="adj2" fmla="val 7100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２枚目のみ押印の上、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竹徳に郵送ください</a:t>
          </a:r>
        </a:p>
      </xdr:txBody>
    </xdr:sp>
    <xdr:clientData/>
  </xdr:twoCellAnchor>
  <xdr:twoCellAnchor>
    <xdr:from>
      <xdr:col>1</xdr:col>
      <xdr:colOff>49696</xdr:colOff>
      <xdr:row>24</xdr:row>
      <xdr:rowOff>24848</xdr:rowOff>
    </xdr:from>
    <xdr:to>
      <xdr:col>2</xdr:col>
      <xdr:colOff>985631</xdr:colOff>
      <xdr:row>27</xdr:row>
      <xdr:rowOff>43070</xdr:rowOff>
    </xdr:to>
    <xdr:sp macro="" textlink="">
      <xdr:nvSpPr>
        <xdr:cNvPr id="39" name="吹き出し: 四角形 38">
          <a:extLst>
            <a:ext uri="{FF2B5EF4-FFF2-40B4-BE49-F238E27FC236}">
              <a16:creationId xmlns:a16="http://schemas.microsoft.com/office/drawing/2014/main" id="{8D7F01F8-ED41-4E39-B6A7-C762F0560E22}"/>
            </a:ext>
          </a:extLst>
        </xdr:cNvPr>
        <xdr:cNvSpPr/>
      </xdr:nvSpPr>
      <xdr:spPr>
        <a:xfrm>
          <a:off x="49696" y="5854148"/>
          <a:ext cx="2250385" cy="561147"/>
        </a:xfrm>
        <a:prstGeom prst="wedgeRectCallout">
          <a:avLst>
            <a:gd name="adj1" fmla="val 56579"/>
            <a:gd name="adj2" fmla="val -1969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２枚目は１ページ目の鏡になっていますので、入力は不要です。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ficialDataTaketoku\&#29694;&#22580;&#21029;Folder\01&#39640;&#35069;Folder\SK%20Project%20Folder\SK08&#24180;&#36861;&#21152;&#24037;&#20107;\SK-(201-19)&#35440;&#25152;6&#22679;&#35373;&#24037;&#20107;08\&#25958;&#36032;&#25913;&#36896;&#12495;&#12454;&#12473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N-1015"/>
      <sheetName val="本体"/>
      <sheetName val="備品"/>
      <sheetName val="実行"/>
      <sheetName val="備品価格表1"/>
      <sheetName val="備品価格表2"/>
      <sheetName val="本体価格表a"/>
      <sheetName val="本体価格表ｂ"/>
      <sheetName val="本体価格表ｃ"/>
      <sheetName val="本体協力業者価格表"/>
      <sheetName val="倉庫棟価格表"/>
      <sheetName val="便所棟価格表"/>
      <sheetName val="ﾕﾆｯﾄ式便所価格表"/>
      <sheetName val="ﾕﾆｯﾄﾊｳｽ価格表"/>
      <sheetName val="別途工事価格表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 xml:space="preserve"> 本体ﾘ-ｽ料</v>
          </cell>
          <cell r="C9" t="str">
            <v xml:space="preserve"> ／延坪日</v>
          </cell>
          <cell r="D9" t="str">
            <v>－</v>
          </cell>
          <cell r="E9">
            <v>0.03</v>
          </cell>
          <cell r="G9" t="str">
            <v>－</v>
          </cell>
          <cell r="H9">
            <v>0.03</v>
          </cell>
          <cell r="J9" t="str">
            <v>－</v>
          </cell>
          <cell r="K9">
            <v>3.5000000000000003E-2</v>
          </cell>
          <cell r="L9" t="str">
            <v>－</v>
          </cell>
          <cell r="M9">
            <v>3.5000000000000003E-2</v>
          </cell>
        </row>
        <row r="10">
          <cell r="B10" t="str">
            <v xml:space="preserve"> 基礎　松抗</v>
          </cell>
          <cell r="C10" t="str">
            <v xml:space="preserve"> ／建坪</v>
          </cell>
          <cell r="D10" t="str">
            <v>－</v>
          </cell>
          <cell r="E10">
            <v>5.3</v>
          </cell>
          <cell r="G10" t="str">
            <v>－</v>
          </cell>
          <cell r="H10">
            <v>5.3</v>
          </cell>
          <cell r="J10" t="str">
            <v>－</v>
          </cell>
          <cell r="K10">
            <v>5.3</v>
          </cell>
          <cell r="L10" t="str">
            <v>－</v>
          </cell>
          <cell r="M10">
            <v>5.3</v>
          </cell>
        </row>
        <row r="11">
          <cell r="B11" t="str">
            <v xml:space="preserve">  〃 CB造 布基礎 2段</v>
          </cell>
          <cell r="C11" t="str">
            <v xml:space="preserve"> ／ 〃</v>
          </cell>
          <cell r="D11" t="str">
            <v>－</v>
          </cell>
          <cell r="E11">
            <v>13</v>
          </cell>
          <cell r="G11" t="str">
            <v>－</v>
          </cell>
          <cell r="H11">
            <v>13</v>
          </cell>
          <cell r="J11" t="str">
            <v>－</v>
          </cell>
          <cell r="K11">
            <v>13</v>
          </cell>
          <cell r="L11" t="str">
            <v>－</v>
          </cell>
          <cell r="M11">
            <v>13</v>
          </cell>
        </row>
        <row r="12">
          <cell r="B12" t="str">
            <v xml:space="preserve">  〃 RC造 布基礎</v>
          </cell>
          <cell r="C12" t="str">
            <v xml:space="preserve"> ／ 〃</v>
          </cell>
          <cell r="D12" t="str">
            <v>－</v>
          </cell>
          <cell r="E12">
            <v>17</v>
          </cell>
          <cell r="G12" t="str">
            <v>－</v>
          </cell>
          <cell r="H12">
            <v>17</v>
          </cell>
          <cell r="J12" t="str">
            <v>－</v>
          </cell>
          <cell r="K12">
            <v>17</v>
          </cell>
          <cell r="L12" t="str">
            <v>－</v>
          </cell>
          <cell r="M12">
            <v>17</v>
          </cell>
        </row>
        <row r="13">
          <cell r="B13" t="str">
            <v xml:space="preserve"> 本体材料</v>
          </cell>
          <cell r="C13" t="str">
            <v xml:space="preserve"> ／延坪</v>
          </cell>
          <cell r="D13" t="str">
            <v>－</v>
          </cell>
          <cell r="E13">
            <v>0.6</v>
          </cell>
          <cell r="G13" t="str">
            <v>－</v>
          </cell>
          <cell r="H13">
            <v>0.6</v>
          </cell>
          <cell r="J13" t="str">
            <v>－</v>
          </cell>
          <cell r="K13">
            <v>0.7</v>
          </cell>
          <cell r="L13" t="str">
            <v>－</v>
          </cell>
          <cell r="M13">
            <v>0.7</v>
          </cell>
        </row>
        <row r="14">
          <cell r="B14" t="str">
            <v xml:space="preserve">  〃 工事</v>
          </cell>
          <cell r="C14" t="str">
            <v xml:space="preserve"> ／ 〃</v>
          </cell>
          <cell r="D14">
            <v>0.38</v>
          </cell>
          <cell r="E14">
            <v>17</v>
          </cell>
          <cell r="G14">
            <v>0.38</v>
          </cell>
          <cell r="H14">
            <v>17</v>
          </cell>
          <cell r="J14">
            <v>0.38</v>
          </cell>
          <cell r="K14">
            <v>17</v>
          </cell>
          <cell r="L14">
            <v>0.38</v>
          </cell>
          <cell r="M14">
            <v>17</v>
          </cell>
        </row>
        <row r="15">
          <cell r="B15" t="str">
            <v xml:space="preserve"> 電気材料</v>
          </cell>
          <cell r="C15" t="str">
            <v xml:space="preserve"> ／ 〃</v>
          </cell>
          <cell r="D15" t="str">
            <v>－</v>
          </cell>
          <cell r="E15">
            <v>4.5</v>
          </cell>
          <cell r="G15" t="str">
            <v>－</v>
          </cell>
          <cell r="H15">
            <v>4.5</v>
          </cell>
          <cell r="J15" t="str">
            <v>－</v>
          </cell>
          <cell r="K15">
            <v>4.5</v>
          </cell>
          <cell r="L15" t="str">
            <v>－</v>
          </cell>
          <cell r="M15">
            <v>4.5</v>
          </cell>
        </row>
        <row r="16">
          <cell r="B16" t="str">
            <v xml:space="preserve">  〃 工事</v>
          </cell>
          <cell r="C16" t="str">
            <v xml:space="preserve"> ／ 〃</v>
          </cell>
          <cell r="D16">
            <v>0.26</v>
          </cell>
          <cell r="E16">
            <v>17</v>
          </cell>
          <cell r="G16">
            <v>0.26</v>
          </cell>
          <cell r="H16">
            <v>17</v>
          </cell>
          <cell r="J16">
            <v>0.26</v>
          </cell>
          <cell r="K16">
            <v>17</v>
          </cell>
          <cell r="L16">
            <v>0.26</v>
          </cell>
          <cell r="M16">
            <v>17</v>
          </cell>
        </row>
        <row r="17">
          <cell r="B17" t="str">
            <v xml:space="preserve"> 設備材料</v>
          </cell>
          <cell r="C17" t="str">
            <v xml:space="preserve"> ／ 〃</v>
          </cell>
          <cell r="D17" t="str">
            <v>－</v>
          </cell>
          <cell r="E17">
            <v>3</v>
          </cell>
          <cell r="G17" t="str">
            <v>－</v>
          </cell>
          <cell r="H17">
            <v>3</v>
          </cell>
          <cell r="J17" t="str">
            <v>－</v>
          </cell>
          <cell r="K17">
            <v>3</v>
          </cell>
          <cell r="L17" t="str">
            <v>－</v>
          </cell>
          <cell r="M17">
            <v>3</v>
          </cell>
        </row>
        <row r="18">
          <cell r="B18" t="str">
            <v xml:space="preserve">  〃 工事</v>
          </cell>
          <cell r="C18" t="str">
            <v xml:space="preserve"> ／ 〃</v>
          </cell>
          <cell r="D18">
            <v>0.2</v>
          </cell>
          <cell r="E18">
            <v>17</v>
          </cell>
          <cell r="G18">
            <v>0.2</v>
          </cell>
          <cell r="H18">
            <v>17</v>
          </cell>
          <cell r="J18">
            <v>0.2</v>
          </cell>
          <cell r="K18">
            <v>17</v>
          </cell>
          <cell r="L18">
            <v>0.2</v>
          </cell>
          <cell r="M18">
            <v>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1"/>
  <sheetViews>
    <sheetView tabSelected="1" topLeftCell="B1" zoomScale="110" zoomScaleNormal="110" zoomScaleSheetLayoutView="115" workbookViewId="0">
      <selection activeCell="G19" sqref="G19"/>
    </sheetView>
  </sheetViews>
  <sheetFormatPr defaultColWidth="0" defaultRowHeight="15" zeroHeight="1"/>
  <cols>
    <col min="1" max="1" width="2.75" style="1" hidden="1" customWidth="1"/>
    <col min="2" max="2" width="17.25" style="4" customWidth="1"/>
    <col min="3" max="3" width="15" style="4" customWidth="1"/>
    <col min="4" max="4" width="4" style="4" customWidth="1"/>
    <col min="5" max="5" width="15" style="4" customWidth="1"/>
    <col min="6" max="6" width="10" style="4" customWidth="1"/>
    <col min="7" max="8" width="5" style="4" customWidth="1"/>
    <col min="9" max="9" width="10" style="4" customWidth="1"/>
    <col min="10" max="10" width="15" style="4" customWidth="1"/>
    <col min="11" max="11" width="12.5" style="4" customWidth="1"/>
    <col min="12" max="12" width="0.875" style="2" customWidth="1"/>
    <col min="13" max="16" width="0" style="4" hidden="1" customWidth="1"/>
    <col min="17" max="16384" width="9" style="4" hidden="1"/>
  </cols>
  <sheetData>
    <row r="1" spans="1:14" ht="15.75" thickBot="1">
      <c r="B1" s="13"/>
      <c r="C1" s="2"/>
      <c r="D1" s="2"/>
      <c r="E1" s="2"/>
      <c r="F1" s="2"/>
      <c r="G1" s="2"/>
      <c r="H1" s="2"/>
      <c r="I1" s="220" t="s">
        <v>77</v>
      </c>
      <c r="J1" s="230" t="s">
        <v>80</v>
      </c>
      <c r="K1" s="84" t="s">
        <v>66</v>
      </c>
      <c r="L1" s="209"/>
    </row>
    <row r="2" spans="1:14" ht="24.75" customHeight="1" thickBot="1">
      <c r="B2" s="2"/>
      <c r="C2" s="2"/>
      <c r="D2" s="299" t="s">
        <v>27</v>
      </c>
      <c r="E2" s="300"/>
      <c r="F2" s="300"/>
      <c r="G2" s="2"/>
      <c r="H2" s="2"/>
      <c r="I2" s="303">
        <f>VLOOKUP(K2,支払計画!C:D,2,0)</f>
        <v>45291</v>
      </c>
      <c r="J2" s="304"/>
      <c r="K2" s="29">
        <v>4</v>
      </c>
      <c r="L2" s="210"/>
    </row>
    <row r="3" spans="1:14" ht="6.75" customHeight="1">
      <c r="B3" s="2"/>
      <c r="C3" s="2"/>
      <c r="D3" s="5"/>
      <c r="E3" s="5"/>
      <c r="F3" s="5"/>
      <c r="G3" s="2"/>
      <c r="I3" s="2"/>
      <c r="J3" s="250" t="s">
        <v>57</v>
      </c>
      <c r="K3" s="250"/>
      <c r="L3" s="203"/>
    </row>
    <row r="4" spans="1:14" ht="11.25" customHeight="1">
      <c r="B4" s="2"/>
      <c r="C4" s="2"/>
      <c r="D4" s="2"/>
      <c r="E4" s="2"/>
      <c r="F4" s="2"/>
      <c r="G4" s="2"/>
      <c r="H4" s="308" t="s">
        <v>1</v>
      </c>
      <c r="I4" s="3" t="s">
        <v>2</v>
      </c>
      <c r="J4" s="250"/>
      <c r="K4" s="250"/>
      <c r="L4" s="203"/>
    </row>
    <row r="5" spans="1:14" ht="24" customHeight="1">
      <c r="B5" s="2" t="s">
        <v>3</v>
      </c>
      <c r="C5" s="2"/>
      <c r="D5" s="2"/>
      <c r="E5" s="2"/>
      <c r="F5" s="2"/>
      <c r="G5" s="2"/>
      <c r="H5" s="308"/>
      <c r="I5" s="309" t="s">
        <v>4</v>
      </c>
      <c r="J5" s="246" t="s">
        <v>58</v>
      </c>
      <c r="K5" s="247"/>
      <c r="L5" s="211"/>
    </row>
    <row r="6" spans="1:14" ht="15.75" thickBot="1">
      <c r="B6" s="6"/>
      <c r="C6" s="6"/>
      <c r="D6" s="6"/>
      <c r="E6" s="2"/>
      <c r="F6" s="2"/>
      <c r="G6" s="2"/>
      <c r="H6" s="308"/>
      <c r="I6" s="309"/>
      <c r="J6" s="246"/>
      <c r="K6" s="247"/>
      <c r="L6" s="211"/>
    </row>
    <row r="7" spans="1:14" ht="18" customHeight="1">
      <c r="A7" s="7"/>
      <c r="B7" s="33" t="s">
        <v>5</v>
      </c>
      <c r="C7" s="248" t="str">
        <f>IF(支払計画!E2="","",支払計画!E2)</f>
        <v>71-1001</v>
      </c>
      <c r="D7" s="249"/>
      <c r="E7" s="2"/>
      <c r="F7" s="2"/>
      <c r="G7" s="2"/>
      <c r="H7" s="308"/>
      <c r="I7" s="75" t="s">
        <v>6</v>
      </c>
      <c r="J7" s="330" t="s">
        <v>59</v>
      </c>
      <c r="K7" s="331"/>
      <c r="L7" s="202"/>
    </row>
    <row r="8" spans="1:14" ht="18" customHeight="1" thickBot="1">
      <c r="A8" s="7"/>
      <c r="B8" s="90" t="s">
        <v>7</v>
      </c>
      <c r="C8" s="301" t="str">
        <f>IF(支払計画!E3="","",支払計画!E3)</f>
        <v>10000XXX-00</v>
      </c>
      <c r="D8" s="302"/>
      <c r="E8" s="243" t="str">
        <f>IF(G19=10%,"下記取引は全て10%対象取引",IF(G19="*8%","下記取引は全て8％対象取引",""))</f>
        <v>下記取引は全て10%対象取引</v>
      </c>
      <c r="F8" s="93"/>
      <c r="G8" s="93"/>
      <c r="H8" s="9"/>
      <c r="I8" s="76" t="s">
        <v>55</v>
      </c>
      <c r="J8" s="337" t="s">
        <v>60</v>
      </c>
      <c r="K8" s="337"/>
      <c r="L8" s="212"/>
    </row>
    <row r="9" spans="1:14" ht="18" customHeight="1" thickBot="1">
      <c r="A9" s="7"/>
      <c r="B9" s="90" t="s">
        <v>8</v>
      </c>
      <c r="C9" s="318" t="str">
        <f>IF(支払計画!E4="","",支払計画!E4)</f>
        <v>テスト工事</v>
      </c>
      <c r="D9" s="319"/>
      <c r="E9" s="320"/>
      <c r="F9" s="320"/>
      <c r="G9" s="320"/>
      <c r="H9" s="11"/>
      <c r="I9" s="6"/>
      <c r="J9" s="6"/>
      <c r="K9" s="6"/>
    </row>
    <row r="10" spans="1:14" ht="18" customHeight="1">
      <c r="A10" s="7"/>
      <c r="B10" s="298" t="s">
        <v>9</v>
      </c>
      <c r="C10" s="314" t="s">
        <v>10</v>
      </c>
      <c r="D10" s="315" t="s">
        <v>11</v>
      </c>
      <c r="E10" s="315"/>
      <c r="F10" s="275" t="s">
        <v>12</v>
      </c>
      <c r="G10" s="276"/>
      <c r="H10" s="257" t="s">
        <v>56</v>
      </c>
      <c r="I10" s="258"/>
      <c r="J10" s="316" t="s">
        <v>14</v>
      </c>
      <c r="K10" s="267" t="s">
        <v>15</v>
      </c>
      <c r="L10" s="9"/>
    </row>
    <row r="11" spans="1:14" ht="18" customHeight="1">
      <c r="A11" s="7"/>
      <c r="B11" s="298"/>
      <c r="C11" s="315"/>
      <c r="D11" s="91" t="s">
        <v>16</v>
      </c>
      <c r="E11" s="91" t="s">
        <v>17</v>
      </c>
      <c r="F11" s="277"/>
      <c r="G11" s="278"/>
      <c r="H11" s="259"/>
      <c r="I11" s="260"/>
      <c r="J11" s="317"/>
      <c r="K11" s="268"/>
      <c r="L11" s="9"/>
    </row>
    <row r="12" spans="1:14" ht="20.25" customHeight="1">
      <c r="A12" s="7">
        <v>1</v>
      </c>
      <c r="B12" s="232" t="str">
        <f>IF(支払計画!F10="","",支払計画!F10)</f>
        <v>施工費</v>
      </c>
      <c r="C12" s="233">
        <f>IF(B12="","",VLOOKUP("x",支払計画!A:K,6,0))</f>
        <v>990000</v>
      </c>
      <c r="D12" s="234">
        <f>IF(C12="","",IF(E12/C12&gt;100%,"N/A",E12/C12))</f>
        <v>1</v>
      </c>
      <c r="E12" s="233">
        <f>IF(B12="","",VLOOKUP(K2,支払計画!C:R,11,0))</f>
        <v>990000</v>
      </c>
      <c r="F12" s="284">
        <f>IF(B12="","",IF(ISERROR(VLOOKUP(K2-1,支払計画!C:Q,10,0)),0,VLOOKUP(K2-1,支払計画!C:R,11,0)))</f>
        <v>990000</v>
      </c>
      <c r="G12" s="285"/>
      <c r="H12" s="265">
        <f>IF(B12="","",VLOOKUP(K2,支払計画!C:K,4,0))</f>
        <v>0</v>
      </c>
      <c r="I12" s="266"/>
      <c r="J12" s="235">
        <f>IF(C12="","",IF(C12-E12&lt;0,"N/A",+C12-E12))</f>
        <v>0</v>
      </c>
      <c r="K12" s="155"/>
      <c r="L12" s="213"/>
    </row>
    <row r="13" spans="1:14" ht="20.25" customHeight="1">
      <c r="A13" s="7">
        <v>2</v>
      </c>
      <c r="B13" s="232" t="str">
        <f>IF(支払計画!G10="","",支払計画!G10)</f>
        <v>レンタル費</v>
      </c>
      <c r="C13" s="233">
        <f>IF(B13="","",VLOOKUP("x",支払計画!A:K,7,0))</f>
        <v>2329000</v>
      </c>
      <c r="D13" s="234">
        <f t="shared" ref="D13:D17" si="0">IF(C13="","",IF(E13/C13&gt;100%,"N/A",E13/C13))</f>
        <v>0.23529411764705882</v>
      </c>
      <c r="E13" s="233">
        <f>IF(B13="","",VLOOKUP(K2,支払計画!C:R,12,0))</f>
        <v>548000</v>
      </c>
      <c r="F13" s="284">
        <f>IF(B13="","",IF(ISERROR(VLOOKUP(K2-1,支払計画!C:Q,10,0)),0,VLOOKUP(K2-1,支払計画!C:R,12,0)))</f>
        <v>411000</v>
      </c>
      <c r="G13" s="285"/>
      <c r="H13" s="265">
        <f>IF(B13="","",VLOOKUP(K2,支払計画!C:K,5,0))</f>
        <v>137000</v>
      </c>
      <c r="I13" s="266"/>
      <c r="J13" s="235">
        <f t="shared" ref="J13:J17" si="1">IF(C13="","",IF(C13-E13&lt;0,"N/A",+C13-E13))</f>
        <v>1781000</v>
      </c>
      <c r="K13" s="155"/>
      <c r="L13" s="213"/>
    </row>
    <row r="14" spans="1:14" ht="20.25" customHeight="1">
      <c r="A14" s="7">
        <v>3</v>
      </c>
      <c r="B14" s="232" t="str">
        <f>IF(支払計画!H10="","",支払計画!H10)</f>
        <v>解体費</v>
      </c>
      <c r="C14" s="233">
        <f>IF(B14="","",VLOOKUP("x",支払計画!A:K,8,0))</f>
        <v>550000</v>
      </c>
      <c r="D14" s="234">
        <f t="shared" si="0"/>
        <v>0</v>
      </c>
      <c r="E14" s="233">
        <f>IF(B14="","",VLOOKUP(K2,支払計画!C:R,13,0))</f>
        <v>0</v>
      </c>
      <c r="F14" s="284">
        <f>IF(B14="","",IF(ISERROR(VLOOKUP(K2-1,支払計画!C:Q,10,0)),0,VLOOKUP(K2-1,支払計画!C:R,13,0)))</f>
        <v>0</v>
      </c>
      <c r="G14" s="285"/>
      <c r="H14" s="265">
        <f>IF(B14="","",VLOOKUP(K2,支払計画!C:K,6,0))</f>
        <v>0</v>
      </c>
      <c r="I14" s="266"/>
      <c r="J14" s="235">
        <f t="shared" si="1"/>
        <v>550000</v>
      </c>
      <c r="K14" s="155"/>
      <c r="L14" s="213"/>
    </row>
    <row r="15" spans="1:14" ht="20.25" customHeight="1">
      <c r="A15" s="7">
        <v>4</v>
      </c>
      <c r="B15" s="232" t="str">
        <f>IF(支払計画!I10="","",支払計画!I10)</f>
        <v>施工費</v>
      </c>
      <c r="C15" s="233">
        <f>IF(B15="","",VLOOKUP("x",支払計画!A:K,9,0))</f>
        <v>990000</v>
      </c>
      <c r="D15" s="234">
        <f t="shared" si="0"/>
        <v>0</v>
      </c>
      <c r="E15" s="233">
        <f>IF(B15="","",VLOOKUP(K2,支払計画!C:R,14,0))</f>
        <v>0</v>
      </c>
      <c r="F15" s="284">
        <f>IF(B15="","",IF(ISERROR(VLOOKUP(K2-1,支払計画!C:Q,10,0)),0,VLOOKUP(K2-1,支払計画!C:R,14,0)))</f>
        <v>0</v>
      </c>
      <c r="G15" s="285"/>
      <c r="H15" s="265">
        <f>IF(B15="","",VLOOKUP(K2,支払計画!C:K,7,0))</f>
        <v>0</v>
      </c>
      <c r="I15" s="266"/>
      <c r="J15" s="235">
        <f t="shared" si="1"/>
        <v>990000</v>
      </c>
      <c r="K15" s="155"/>
      <c r="L15" s="213"/>
    </row>
    <row r="16" spans="1:14" ht="20.25" customHeight="1">
      <c r="A16" s="7"/>
      <c r="B16" s="232" t="str">
        <f>IF(支払計画!J10="","",支払計画!J10)</f>
        <v>レンタル費</v>
      </c>
      <c r="C16" s="233">
        <f>IF(B16="","",VLOOKUP("x",支払計画!A:K,10,0))</f>
        <v>2329000</v>
      </c>
      <c r="D16" s="234">
        <f t="shared" si="0"/>
        <v>0</v>
      </c>
      <c r="E16" s="233">
        <f>IF(B16="","",VLOOKUP(K2,支払計画!C:R,15,0))</f>
        <v>0</v>
      </c>
      <c r="F16" s="284">
        <f>IF(B16="","",IF(ISERROR(VLOOKUP(K2-1,支払計画!C:Q,10,0)),0,VLOOKUP(K2-1,支払計画!C:R,15,0)))</f>
        <v>0</v>
      </c>
      <c r="G16" s="285"/>
      <c r="H16" s="265">
        <f>IF(B16="","",VLOOKUP(K2,支払計画!C:K,8,0))</f>
        <v>0</v>
      </c>
      <c r="I16" s="266"/>
      <c r="J16" s="235">
        <f t="shared" si="1"/>
        <v>2329000</v>
      </c>
      <c r="K16" s="155"/>
      <c r="L16" s="213"/>
      <c r="N16" s="153"/>
    </row>
    <row r="17" spans="1:16" ht="20.25" customHeight="1" thickBot="1">
      <c r="A17" s="7">
        <v>5</v>
      </c>
      <c r="B17" s="232" t="str">
        <f>IF(支払計画!K10="","",支払計画!K10)</f>
        <v>解体費</v>
      </c>
      <c r="C17" s="236">
        <f>IF(B17="","",VLOOKUP("x",支払計画!A:K,11,0))</f>
        <v>550000</v>
      </c>
      <c r="D17" s="237">
        <f t="shared" si="0"/>
        <v>0</v>
      </c>
      <c r="E17" s="236">
        <f>IF(B17="","",VLOOKUP(K2,支払計画!C:R,16,0))</f>
        <v>0</v>
      </c>
      <c r="F17" s="282">
        <f>IF(B17="",B17,IF(ISERROR(VLOOKUP(K2-1,支払計画!C:Q,10,0)),0,VLOOKUP(K2-1,支払計画!C:R,16,0)))</f>
        <v>0</v>
      </c>
      <c r="G17" s="283"/>
      <c r="H17" s="263">
        <f>IF(B17="","",VLOOKUP(K2,支払計画!C:K,9,0))</f>
        <v>0</v>
      </c>
      <c r="I17" s="264"/>
      <c r="J17" s="238">
        <f t="shared" si="1"/>
        <v>550000</v>
      </c>
      <c r="K17" s="189"/>
      <c r="L17" s="213"/>
      <c r="M17" s="194" t="s">
        <v>76</v>
      </c>
      <c r="N17" s="395" t="s">
        <v>74</v>
      </c>
      <c r="O17" s="395"/>
    </row>
    <row r="18" spans="1:16" ht="20.25" customHeight="1" thickBot="1">
      <c r="A18" s="7"/>
      <c r="B18" s="142" t="s">
        <v>18</v>
      </c>
      <c r="C18" s="239">
        <f>SUM(C12:C17)</f>
        <v>7738000</v>
      </c>
      <c r="D18" s="240">
        <f>IF(C18="","",IF(E18/C18&gt;100%,"N/A",E18/C18))</f>
        <v>0.19875936934608426</v>
      </c>
      <c r="E18" s="239">
        <f>SUM(E12:E17)</f>
        <v>1538000</v>
      </c>
      <c r="F18" s="281">
        <f>SUM(F12:G17)</f>
        <v>1401000</v>
      </c>
      <c r="G18" s="262">
        <f t="shared" ref="G18:J18" si="2">SUM(G12:G17)</f>
        <v>0</v>
      </c>
      <c r="H18" s="261">
        <f>SUM(H12:I17)</f>
        <v>137000</v>
      </c>
      <c r="I18" s="262">
        <f t="shared" si="2"/>
        <v>0</v>
      </c>
      <c r="J18" s="241">
        <f t="shared" si="2"/>
        <v>6200000</v>
      </c>
      <c r="K18" s="190"/>
      <c r="L18" s="213"/>
      <c r="M18" s="140" t="str">
        <f>IF(SUM(C12:C17,E12:J17,C18,C12:C17)-SUM(C18,E18:J18,E18,J18,E12:E17,J12:J17)=0,"一致",SUM(C12:C17,E12:J17)-SUM(C18,E18:J18))</f>
        <v>一致</v>
      </c>
      <c r="N18" s="140" t="str">
        <f>IF(C18-E18-J18+H18+F18-E18=0,"一致",C18-E18-J18+H18+F18-E18)</f>
        <v>一致</v>
      </c>
      <c r="O18" s="140" t="str">
        <f>IF(SUM(C12:C17,H12:I17,F12:G17)-SUM(E12:E17,J12:J17,E12:E17)=0,"一致",SUM(C12:C17,H12:I17,F12:G17)-SUM(E12:E17,J12:J17,E12:E17))</f>
        <v>一致</v>
      </c>
      <c r="P18" s="151" t="s">
        <v>75</v>
      </c>
    </row>
    <row r="19" spans="1:16" ht="17.25" customHeight="1" thickBot="1">
      <c r="A19" s="7"/>
      <c r="B19" s="34" t="s">
        <v>19</v>
      </c>
      <c r="C19" s="321" t="s">
        <v>61</v>
      </c>
      <c r="D19" s="322"/>
      <c r="E19" s="323"/>
      <c r="F19" s="36" t="s">
        <v>20</v>
      </c>
      <c r="G19" s="231">
        <v>0.1</v>
      </c>
      <c r="H19" s="279">
        <f>IF(G19="非課税",0,IF(G19="不課税",0,IF(G19="*8%",ROUNDDOWN(H18*8%,0),ROUNDDOWN(H18*G19,0))))</f>
        <v>13700</v>
      </c>
      <c r="I19" s="280"/>
      <c r="J19" s="242" t="str">
        <f>IF(G19="*8%","軽減税率対象",IF(G19=8%,"経過措置適用",IF(G19=5%,"経過措置適用","")))</f>
        <v/>
      </c>
      <c r="K19" s="225" t="str">
        <f>IF(J1="",IF(I2&gt;=DATEVALUE("2023/10/1"),IF(I2&gt;=DATEVALUE("2026/10/1"),"50% 控除対象","80% 控除対象"),""),"")</f>
        <v/>
      </c>
      <c r="L19" s="9"/>
    </row>
    <row r="20" spans="1:16" ht="17.25" customHeight="1">
      <c r="A20" s="7"/>
      <c r="B20" s="34" t="s">
        <v>21</v>
      </c>
      <c r="C20" s="328" t="s">
        <v>62</v>
      </c>
      <c r="D20" s="329"/>
      <c r="E20" s="156" t="s">
        <v>63</v>
      </c>
      <c r="F20" s="271" t="s">
        <v>28</v>
      </c>
      <c r="G20" s="272"/>
      <c r="H20" s="324">
        <f>+H18+H19</f>
        <v>150700</v>
      </c>
      <c r="I20" s="325"/>
      <c r="J20" s="269"/>
      <c r="K20" s="224"/>
      <c r="L20" s="9"/>
    </row>
    <row r="21" spans="1:16" ht="17.25" customHeight="1" thickBot="1">
      <c r="A21" s="7"/>
      <c r="B21" s="35" t="s">
        <v>22</v>
      </c>
      <c r="C21" s="30" t="s">
        <v>54</v>
      </c>
      <c r="D21" s="31" t="s">
        <v>26</v>
      </c>
      <c r="E21" s="45" t="s">
        <v>64</v>
      </c>
      <c r="F21" s="273"/>
      <c r="G21" s="274"/>
      <c r="H21" s="326"/>
      <c r="I21" s="327"/>
      <c r="J21" s="270"/>
      <c r="K21" s="224"/>
      <c r="L21" s="9"/>
    </row>
    <row r="22" spans="1:16" ht="27" customHeight="1">
      <c r="B22" s="2"/>
      <c r="C22" s="2"/>
      <c r="D22" s="2"/>
      <c r="E22" s="2"/>
      <c r="F22" s="71"/>
      <c r="G22" s="251" t="s">
        <v>23</v>
      </c>
      <c r="H22" s="37" t="s">
        <v>24</v>
      </c>
      <c r="I22" s="32">
        <v>0.3</v>
      </c>
      <c r="J22" s="253"/>
      <c r="K22" s="254"/>
      <c r="L22" s="204"/>
    </row>
    <row r="23" spans="1:16" ht="27" customHeight="1" thickBot="1">
      <c r="B23" s="2"/>
      <c r="C23" s="215"/>
      <c r="D23" s="2"/>
      <c r="E23" s="2"/>
      <c r="F23" s="72"/>
      <c r="G23" s="252"/>
      <c r="H23" s="38" t="s">
        <v>25</v>
      </c>
      <c r="I23" s="95">
        <f>1-I22</f>
        <v>0.7</v>
      </c>
      <c r="J23" s="255"/>
      <c r="K23" s="256"/>
      <c r="L23" s="204"/>
    </row>
    <row r="24" spans="1:16" ht="15.75" customHeight="1">
      <c r="B24" s="2"/>
      <c r="C24" s="2"/>
      <c r="D24" s="2"/>
      <c r="E24" s="2"/>
      <c r="F24" s="2"/>
      <c r="G24" s="2"/>
      <c r="H24" s="2"/>
      <c r="I24" s="2"/>
      <c r="J24" s="2"/>
      <c r="K24" s="46" t="s">
        <v>29</v>
      </c>
      <c r="L24" s="70"/>
    </row>
    <row r="25" spans="1:16" ht="15.75" thickBot="1">
      <c r="B25" s="13"/>
      <c r="C25" s="2"/>
      <c r="D25" s="2"/>
      <c r="E25" s="2"/>
      <c r="F25" s="2"/>
      <c r="G25" s="2"/>
      <c r="H25" s="2"/>
      <c r="I25" s="9" t="str">
        <f>I1</f>
        <v>登録番号</v>
      </c>
      <c r="J25" s="221" t="str">
        <f>IF(J1="","",J1)</f>
        <v>T1000000000000</v>
      </c>
      <c r="K25" s="84" t="str">
        <f>+K1</f>
        <v>(支払計画方式)</v>
      </c>
      <c r="L25" s="209"/>
    </row>
    <row r="26" spans="1:16" ht="24.75" customHeight="1" thickBot="1">
      <c r="B26" s="2"/>
      <c r="C26" s="2"/>
      <c r="D26" s="299" t="s">
        <v>27</v>
      </c>
      <c r="E26" s="300"/>
      <c r="F26" s="300"/>
      <c r="G26" s="2"/>
      <c r="H26" s="2"/>
      <c r="I26" s="305">
        <f>IF(I2="","",I2)</f>
        <v>45291</v>
      </c>
      <c r="J26" s="306"/>
      <c r="K26" s="96">
        <f>IF(K2="","",K2)</f>
        <v>4</v>
      </c>
      <c r="L26" s="205"/>
    </row>
    <row r="27" spans="1:16" ht="6.75" customHeight="1">
      <c r="B27" s="2"/>
      <c r="C27" s="2"/>
      <c r="D27" s="5"/>
      <c r="E27" s="5"/>
      <c r="F27" s="5"/>
      <c r="G27" s="2"/>
      <c r="I27" s="2"/>
      <c r="J27" s="307" t="str">
        <f>IF(J3="","",J3)</f>
        <v>000-0000</v>
      </c>
      <c r="K27" s="307"/>
      <c r="L27" s="198"/>
    </row>
    <row r="28" spans="1:16" ht="11.25" customHeight="1">
      <c r="B28" s="2"/>
      <c r="C28" s="2"/>
      <c r="D28" s="2"/>
      <c r="E28" s="2"/>
      <c r="F28" s="2"/>
      <c r="G28" s="2"/>
      <c r="H28" s="308" t="s">
        <v>1</v>
      </c>
      <c r="I28" s="3" t="s">
        <v>2</v>
      </c>
      <c r="J28" s="307"/>
      <c r="K28" s="307"/>
      <c r="L28" s="198"/>
    </row>
    <row r="29" spans="1:16" ht="24" customHeight="1">
      <c r="B29" s="2" t="s">
        <v>3</v>
      </c>
      <c r="C29" s="2"/>
      <c r="D29" s="2"/>
      <c r="E29" s="2"/>
      <c r="F29" s="2"/>
      <c r="G29" s="2"/>
      <c r="H29" s="308"/>
      <c r="I29" s="309" t="s">
        <v>4</v>
      </c>
      <c r="J29" s="310" t="str">
        <f>IF(J5="","",J5)</f>
        <v>○○県××市１－１－１</v>
      </c>
      <c r="K29" s="310"/>
      <c r="L29" s="199"/>
    </row>
    <row r="30" spans="1:16" ht="15.75" thickBot="1">
      <c r="B30" s="6"/>
      <c r="C30" s="6"/>
      <c r="D30" s="6"/>
      <c r="E30" s="2"/>
      <c r="F30" s="2"/>
      <c r="G30" s="2"/>
      <c r="H30" s="308"/>
      <c r="I30" s="309"/>
      <c r="J30" s="310" t="str">
        <f>IF(J6="","",J6)</f>
        <v/>
      </c>
      <c r="K30" s="310"/>
      <c r="L30" s="200"/>
    </row>
    <row r="31" spans="1:16" ht="18" customHeight="1">
      <c r="A31" s="7"/>
      <c r="B31" s="39" t="s">
        <v>5</v>
      </c>
      <c r="C31" s="311" t="str">
        <f>IF(C7="","",C7)</f>
        <v>71-1001</v>
      </c>
      <c r="D31" s="312"/>
      <c r="E31" s="2"/>
      <c r="F31" s="2"/>
      <c r="G31" s="2"/>
      <c r="H31" s="308"/>
      <c r="I31" s="75" t="s">
        <v>6</v>
      </c>
      <c r="J31" s="313" t="str">
        <f>IF(J7="","",J7)</f>
        <v>株式会社○○××</v>
      </c>
      <c r="K31" s="313"/>
      <c r="L31" s="201"/>
    </row>
    <row r="32" spans="1:16" ht="18" customHeight="1" thickBot="1">
      <c r="A32" s="7"/>
      <c r="B32" s="88" t="s">
        <v>7</v>
      </c>
      <c r="C32" s="286" t="str">
        <f>IF(C8="","",C8)</f>
        <v>10000XXX-00</v>
      </c>
      <c r="D32" s="287"/>
      <c r="E32" s="223" t="str">
        <f>E8</f>
        <v>下記取引は全て10%対象取引</v>
      </c>
      <c r="F32" s="93"/>
      <c r="G32" s="93"/>
      <c r="H32" s="9"/>
      <c r="I32" s="77" t="s">
        <v>55</v>
      </c>
      <c r="J32" s="336" t="str">
        <f>IF(J8="","",J8)</f>
        <v>00-0000-0000</v>
      </c>
      <c r="K32" s="336"/>
      <c r="L32" s="206"/>
    </row>
    <row r="33" spans="1:15" ht="18" customHeight="1" thickBot="1">
      <c r="A33" s="7"/>
      <c r="B33" s="88" t="s">
        <v>8</v>
      </c>
      <c r="C33" s="288" t="str">
        <f>IF(C9="","",C9)</f>
        <v>テスト工事</v>
      </c>
      <c r="D33" s="289"/>
      <c r="E33" s="290"/>
      <c r="F33" s="290"/>
      <c r="G33" s="290"/>
      <c r="H33" s="11"/>
      <c r="I33" s="6"/>
      <c r="J33" s="6"/>
      <c r="K33" s="6"/>
    </row>
    <row r="34" spans="1:15" ht="18" customHeight="1">
      <c r="A34" s="7"/>
      <c r="B34" s="291" t="s">
        <v>9</v>
      </c>
      <c r="C34" s="292" t="s">
        <v>67</v>
      </c>
      <c r="D34" s="293" t="s">
        <v>11</v>
      </c>
      <c r="E34" s="293"/>
      <c r="F34" s="294" t="s">
        <v>12</v>
      </c>
      <c r="G34" s="295"/>
      <c r="H34" s="338" t="s">
        <v>56</v>
      </c>
      <c r="I34" s="339"/>
      <c r="J34" s="342" t="s">
        <v>14</v>
      </c>
      <c r="K34" s="344" t="s">
        <v>15</v>
      </c>
      <c r="L34" s="9"/>
    </row>
    <row r="35" spans="1:15" ht="18" customHeight="1">
      <c r="A35" s="7"/>
      <c r="B35" s="291"/>
      <c r="C35" s="293"/>
      <c r="D35" s="89" t="s">
        <v>16</v>
      </c>
      <c r="E35" s="89" t="s">
        <v>17</v>
      </c>
      <c r="F35" s="296"/>
      <c r="G35" s="297"/>
      <c r="H35" s="340"/>
      <c r="I35" s="341"/>
      <c r="J35" s="343"/>
      <c r="K35" s="345"/>
      <c r="L35" s="9"/>
    </row>
    <row r="36" spans="1:15" ht="20.25" customHeight="1">
      <c r="A36" s="7">
        <v>1</v>
      </c>
      <c r="B36" s="157" t="str">
        <f t="shared" ref="B36:J36" si="3">IF(B12="","",B12)</f>
        <v>施工費</v>
      </c>
      <c r="C36" s="57">
        <f t="shared" si="3"/>
        <v>990000</v>
      </c>
      <c r="D36" s="227">
        <f t="shared" si="3"/>
        <v>1</v>
      </c>
      <c r="E36" s="144">
        <f t="shared" si="3"/>
        <v>990000</v>
      </c>
      <c r="F36" s="332">
        <f t="shared" si="3"/>
        <v>990000</v>
      </c>
      <c r="G36" s="333" t="str">
        <f t="shared" si="3"/>
        <v/>
      </c>
      <c r="H36" s="334">
        <f>IF(H12="","",H12)</f>
        <v>0</v>
      </c>
      <c r="I36" s="335" t="str">
        <f t="shared" si="3"/>
        <v/>
      </c>
      <c r="J36" s="82">
        <f t="shared" si="3"/>
        <v>0</v>
      </c>
      <c r="K36" s="158" t="str">
        <f t="shared" ref="K36" si="4">IF(K12="","",K12)</f>
        <v/>
      </c>
      <c r="L36" s="207"/>
    </row>
    <row r="37" spans="1:15" ht="20.25" customHeight="1">
      <c r="A37" s="7">
        <v>2</v>
      </c>
      <c r="B37" s="157" t="str">
        <f t="shared" ref="B37" si="5">IF(B13="","",B13)</f>
        <v>レンタル費</v>
      </c>
      <c r="C37" s="57">
        <f t="shared" ref="C37:J42" si="6">IF(C13="","",C13)</f>
        <v>2329000</v>
      </c>
      <c r="D37" s="227">
        <f t="shared" si="6"/>
        <v>0.23529411764705882</v>
      </c>
      <c r="E37" s="144">
        <f t="shared" si="6"/>
        <v>548000</v>
      </c>
      <c r="F37" s="332">
        <f t="shared" si="6"/>
        <v>411000</v>
      </c>
      <c r="G37" s="333" t="str">
        <f t="shared" si="6"/>
        <v/>
      </c>
      <c r="H37" s="334">
        <f t="shared" si="6"/>
        <v>137000</v>
      </c>
      <c r="I37" s="335" t="str">
        <f t="shared" si="6"/>
        <v/>
      </c>
      <c r="J37" s="82">
        <f t="shared" si="6"/>
        <v>1781000</v>
      </c>
      <c r="K37" s="158" t="str">
        <f t="shared" ref="K37" si="7">IF(K13="","",K13)</f>
        <v/>
      </c>
      <c r="L37" s="207"/>
    </row>
    <row r="38" spans="1:15" ht="20.25" customHeight="1">
      <c r="A38" s="7">
        <v>3</v>
      </c>
      <c r="B38" s="157" t="str">
        <f t="shared" ref="B38" si="8">IF(B14="","",B14)</f>
        <v>解体費</v>
      </c>
      <c r="C38" s="57">
        <f t="shared" si="6"/>
        <v>550000</v>
      </c>
      <c r="D38" s="227">
        <f t="shared" si="6"/>
        <v>0</v>
      </c>
      <c r="E38" s="144">
        <f t="shared" si="6"/>
        <v>0</v>
      </c>
      <c r="F38" s="332">
        <f t="shared" si="6"/>
        <v>0</v>
      </c>
      <c r="G38" s="333" t="str">
        <f t="shared" si="6"/>
        <v/>
      </c>
      <c r="H38" s="334">
        <f t="shared" si="6"/>
        <v>0</v>
      </c>
      <c r="I38" s="335" t="str">
        <f t="shared" si="6"/>
        <v/>
      </c>
      <c r="J38" s="82">
        <f t="shared" si="6"/>
        <v>550000</v>
      </c>
      <c r="K38" s="158" t="str">
        <f t="shared" ref="K38" si="9">IF(K14="","",K14)</f>
        <v/>
      </c>
      <c r="L38" s="207"/>
    </row>
    <row r="39" spans="1:15" ht="20.25" customHeight="1">
      <c r="A39" s="7">
        <v>4</v>
      </c>
      <c r="B39" s="157" t="str">
        <f t="shared" ref="B39:B41" si="10">IF(B15="","",B15)</f>
        <v>施工費</v>
      </c>
      <c r="C39" s="57">
        <f t="shared" si="6"/>
        <v>990000</v>
      </c>
      <c r="D39" s="227">
        <f t="shared" si="6"/>
        <v>0</v>
      </c>
      <c r="E39" s="144">
        <f t="shared" si="6"/>
        <v>0</v>
      </c>
      <c r="F39" s="332">
        <f t="shared" si="6"/>
        <v>0</v>
      </c>
      <c r="G39" s="333" t="str">
        <f t="shared" si="6"/>
        <v/>
      </c>
      <c r="H39" s="334">
        <f t="shared" si="6"/>
        <v>0</v>
      </c>
      <c r="I39" s="335" t="str">
        <f t="shared" si="6"/>
        <v/>
      </c>
      <c r="J39" s="82">
        <f t="shared" si="6"/>
        <v>990000</v>
      </c>
      <c r="K39" s="158" t="str">
        <f t="shared" ref="K39:K41" si="11">IF(K15="","",K15)</f>
        <v/>
      </c>
      <c r="L39" s="207"/>
    </row>
    <row r="40" spans="1:15" ht="20.25" customHeight="1">
      <c r="A40" s="7"/>
      <c r="B40" s="157" t="str">
        <f t="shared" si="10"/>
        <v>レンタル費</v>
      </c>
      <c r="C40" s="57">
        <f t="shared" si="6"/>
        <v>2329000</v>
      </c>
      <c r="D40" s="227">
        <f t="shared" si="6"/>
        <v>0</v>
      </c>
      <c r="E40" s="144">
        <f t="shared" si="6"/>
        <v>0</v>
      </c>
      <c r="F40" s="332">
        <f t="shared" si="6"/>
        <v>0</v>
      </c>
      <c r="G40" s="333" t="str">
        <f t="shared" si="6"/>
        <v/>
      </c>
      <c r="H40" s="334">
        <f t="shared" si="6"/>
        <v>0</v>
      </c>
      <c r="I40" s="335" t="str">
        <f t="shared" si="6"/>
        <v/>
      </c>
      <c r="J40" s="82">
        <f t="shared" si="6"/>
        <v>2329000</v>
      </c>
      <c r="K40" s="158" t="str">
        <f t="shared" si="11"/>
        <v/>
      </c>
      <c r="L40" s="207"/>
    </row>
    <row r="41" spans="1:15" ht="20.25" customHeight="1" thickBot="1">
      <c r="A41" s="7">
        <v>5</v>
      </c>
      <c r="B41" s="157" t="str">
        <f t="shared" si="10"/>
        <v>解体費</v>
      </c>
      <c r="C41" s="145">
        <f t="shared" si="6"/>
        <v>550000</v>
      </c>
      <c r="D41" s="228">
        <f t="shared" si="6"/>
        <v>0</v>
      </c>
      <c r="E41" s="146">
        <f t="shared" si="6"/>
        <v>0</v>
      </c>
      <c r="F41" s="356">
        <f t="shared" si="6"/>
        <v>0</v>
      </c>
      <c r="G41" s="357" t="str">
        <f t="shared" si="6"/>
        <v/>
      </c>
      <c r="H41" s="358">
        <f t="shared" si="6"/>
        <v>0</v>
      </c>
      <c r="I41" s="359" t="str">
        <f t="shared" si="6"/>
        <v/>
      </c>
      <c r="J41" s="141">
        <f t="shared" si="6"/>
        <v>550000</v>
      </c>
      <c r="K41" s="159" t="str">
        <f t="shared" si="11"/>
        <v/>
      </c>
      <c r="L41" s="207"/>
      <c r="M41" s="152" t="s">
        <v>73</v>
      </c>
      <c r="N41" s="395" t="s">
        <v>74</v>
      </c>
      <c r="O41" s="395"/>
    </row>
    <row r="42" spans="1:15" ht="20.25" customHeight="1" thickBot="1">
      <c r="A42" s="7"/>
      <c r="B42" s="143" t="s">
        <v>18</v>
      </c>
      <c r="C42" s="147">
        <f t="shared" si="6"/>
        <v>7738000</v>
      </c>
      <c r="D42" s="229">
        <f t="shared" si="6"/>
        <v>0.19875936934608426</v>
      </c>
      <c r="E42" s="147">
        <f t="shared" si="6"/>
        <v>1538000</v>
      </c>
      <c r="F42" s="360">
        <f t="shared" si="6"/>
        <v>1401000</v>
      </c>
      <c r="G42" s="361">
        <f t="shared" si="6"/>
        <v>0</v>
      </c>
      <c r="H42" s="362">
        <f t="shared" si="6"/>
        <v>137000</v>
      </c>
      <c r="I42" s="363">
        <f t="shared" si="6"/>
        <v>0</v>
      </c>
      <c r="J42" s="148">
        <f t="shared" si="6"/>
        <v>6200000</v>
      </c>
      <c r="K42" s="160" t="str">
        <f t="shared" ref="K42" si="12">IF(K18="","",K18)</f>
        <v/>
      </c>
      <c r="L42" s="207"/>
      <c r="M42" s="140" t="str">
        <f>IF(SUM(C36:C41,E36:J41,C42,C36:C41)-SUM(C42,E42:J42,E42,J42,E36:E41,J36:J41)=0,"一致",SUM(C36:C41,E36:J41)-SUM(C42,E42:J42))</f>
        <v>一致</v>
      </c>
      <c r="N42" s="140" t="str">
        <f>IF(C42-E42-J42+H42+F42-E42=0,"一致",C42-E42-J42+H42+F42-E42)</f>
        <v>一致</v>
      </c>
      <c r="O42" s="140" t="str">
        <f>IF(SUM(C36:C41,H36:I41,F36:G41)-SUM(E36:E41,J36:J41,E36:E41)=0,"一致",SUM(C36:C41,H36:I41,F36:G41)-SUM(E36:E41,J36:J41,E36:E41))</f>
        <v>一致</v>
      </c>
    </row>
    <row r="43" spans="1:15" ht="17.25" customHeight="1" thickBot="1">
      <c r="A43" s="7"/>
      <c r="B43" s="40" t="s">
        <v>19</v>
      </c>
      <c r="C43" s="364" t="str">
        <f>IF(C19="","",C19)</f>
        <v>㈱○○××</v>
      </c>
      <c r="D43" s="365"/>
      <c r="E43" s="366"/>
      <c r="F43" s="42" t="s">
        <v>20</v>
      </c>
      <c r="G43" s="244">
        <f>+G19</f>
        <v>0.1</v>
      </c>
      <c r="H43" s="367">
        <f>IF(H19="","",H19)</f>
        <v>13700</v>
      </c>
      <c r="I43" s="368" t="str">
        <f>IF(I19="","",I19)</f>
        <v/>
      </c>
      <c r="J43" s="222" t="str">
        <f>IF(J19="","",J19)</f>
        <v/>
      </c>
      <c r="K43" s="226" t="str">
        <f>K19</f>
        <v/>
      </c>
      <c r="L43" s="9"/>
      <c r="M43" s="188"/>
    </row>
    <row r="44" spans="1:15" ht="17.25" customHeight="1">
      <c r="A44" s="7"/>
      <c r="B44" s="40" t="s">
        <v>21</v>
      </c>
      <c r="C44" s="346" t="str">
        <f>IF(C20="","",C20)</f>
        <v>◆◆銀行</v>
      </c>
      <c r="D44" s="347"/>
      <c r="E44" s="161" t="str">
        <f>IF(E20="","",E20)</f>
        <v>△△支店</v>
      </c>
      <c r="F44" s="348" t="s">
        <v>28</v>
      </c>
      <c r="G44" s="349"/>
      <c r="H44" s="352">
        <f>IF(H20="","",H20)</f>
        <v>150700</v>
      </c>
      <c r="I44" s="353"/>
      <c r="J44" s="269"/>
      <c r="K44" s="224"/>
      <c r="L44" s="9"/>
      <c r="M44" s="188"/>
    </row>
    <row r="45" spans="1:15" ht="17.25" customHeight="1" thickBot="1">
      <c r="A45" s="7"/>
      <c r="B45" s="41" t="s">
        <v>22</v>
      </c>
      <c r="C45" s="100" t="str">
        <f>IF(C21="","",C21)</f>
        <v>普通</v>
      </c>
      <c r="D45" s="101" t="s">
        <v>26</v>
      </c>
      <c r="E45" s="102" t="str">
        <f>IF(E21="","",E21)</f>
        <v>0000000</v>
      </c>
      <c r="F45" s="350"/>
      <c r="G45" s="351"/>
      <c r="H45" s="354"/>
      <c r="I45" s="355"/>
      <c r="J45" s="270"/>
      <c r="K45" s="224"/>
      <c r="L45" s="9"/>
      <c r="M45" s="188"/>
    </row>
    <row r="46" spans="1:15" ht="27" customHeight="1">
      <c r="B46" s="2"/>
      <c r="C46" s="2"/>
      <c r="D46" s="2"/>
      <c r="E46" s="2"/>
      <c r="F46" s="2"/>
      <c r="G46" s="369" t="s">
        <v>23</v>
      </c>
      <c r="H46" s="43" t="s">
        <v>24</v>
      </c>
      <c r="I46" s="103">
        <f>IF(I22="","",I22)</f>
        <v>0.3</v>
      </c>
      <c r="J46" s="253"/>
      <c r="K46" s="254"/>
      <c r="L46" s="204"/>
    </row>
    <row r="47" spans="1:15" ht="27" customHeight="1" thickBot="1">
      <c r="B47" s="2"/>
      <c r="C47" s="2"/>
      <c r="D47" s="2"/>
      <c r="E47" s="2"/>
      <c r="F47" s="2"/>
      <c r="G47" s="370"/>
      <c r="H47" s="44" t="s">
        <v>25</v>
      </c>
      <c r="I47" s="95">
        <f>1-I46</f>
        <v>0.7</v>
      </c>
      <c r="J47" s="255"/>
      <c r="K47" s="256"/>
      <c r="L47" s="204"/>
    </row>
    <row r="48" spans="1:15" ht="15.75" customHeight="1">
      <c r="B48" s="2"/>
      <c r="C48" s="2"/>
      <c r="D48" s="2"/>
      <c r="E48" s="2"/>
      <c r="F48" s="2"/>
      <c r="G48" s="245" t="s">
        <v>49</v>
      </c>
      <c r="H48" s="245"/>
      <c r="I48" s="2"/>
      <c r="J48" s="70" t="s">
        <v>50</v>
      </c>
      <c r="K48" s="47" t="s">
        <v>30</v>
      </c>
      <c r="L48" s="70"/>
    </row>
    <row r="49" spans="1:12" hidden="1">
      <c r="B49" s="13" t="s">
        <v>0</v>
      </c>
      <c r="C49" s="2"/>
      <c r="D49" s="2"/>
      <c r="E49" s="2"/>
      <c r="F49" s="2"/>
      <c r="G49" s="2"/>
      <c r="H49" s="2"/>
      <c r="I49" s="2"/>
      <c r="J49" s="3"/>
      <c r="K49" s="1"/>
      <c r="L49" s="9"/>
    </row>
    <row r="50" spans="1:12" ht="24.75" hidden="1" customHeight="1" thickBot="1">
      <c r="B50" s="2"/>
      <c r="C50" s="2"/>
      <c r="D50" s="299" t="s">
        <v>27</v>
      </c>
      <c r="E50" s="300"/>
      <c r="F50" s="300"/>
      <c r="G50" s="2"/>
      <c r="H50" s="2"/>
      <c r="I50" s="305">
        <f>IF(I26="","",I26)</f>
        <v>45291</v>
      </c>
      <c r="J50" s="306"/>
      <c r="K50" s="96">
        <f>IF(K26="","",K26)</f>
        <v>4</v>
      </c>
      <c r="L50" s="205"/>
    </row>
    <row r="51" spans="1:12" ht="6.75" hidden="1" customHeight="1">
      <c r="B51" s="2"/>
      <c r="C51" s="2"/>
      <c r="D51" s="5"/>
      <c r="E51" s="5"/>
      <c r="F51" s="5"/>
      <c r="G51" s="2"/>
      <c r="I51" s="2"/>
      <c r="J51" s="371" t="str">
        <f>IF(J27="","",J27)</f>
        <v>000-0000</v>
      </c>
      <c r="K51" s="371"/>
      <c r="L51" s="195"/>
    </row>
    <row r="52" spans="1:12" ht="11.25" hidden="1" customHeight="1">
      <c r="B52" s="2"/>
      <c r="C52" s="2"/>
      <c r="D52" s="2"/>
      <c r="E52" s="2"/>
      <c r="F52" s="2"/>
      <c r="G52" s="2"/>
      <c r="H52" s="308" t="s">
        <v>1</v>
      </c>
      <c r="I52" s="3" t="s">
        <v>2</v>
      </c>
      <c r="J52" s="371"/>
      <c r="K52" s="371"/>
      <c r="L52" s="195"/>
    </row>
    <row r="53" spans="1:12" ht="24" hidden="1" customHeight="1">
      <c r="B53" s="2" t="s">
        <v>3</v>
      </c>
      <c r="C53" s="2"/>
      <c r="D53" s="2"/>
      <c r="E53" s="2"/>
      <c r="F53" s="2"/>
      <c r="G53" s="2"/>
      <c r="H53" s="308"/>
      <c r="I53" s="309" t="s">
        <v>4</v>
      </c>
      <c r="J53" s="372" t="str">
        <f>IF(J29="","",J29)</f>
        <v>○○県××市１－１－１</v>
      </c>
      <c r="K53" s="372"/>
      <c r="L53" s="196"/>
    </row>
    <row r="54" spans="1:12" ht="15.75" hidden="1" thickBot="1">
      <c r="B54" s="6"/>
      <c r="C54" s="6"/>
      <c r="D54" s="6"/>
      <c r="E54" s="2"/>
      <c r="F54" s="2"/>
      <c r="G54" s="2"/>
      <c r="H54" s="308"/>
      <c r="I54" s="309"/>
      <c r="J54" s="373" t="str">
        <f>IF(J30="","",J30)</f>
        <v/>
      </c>
      <c r="K54" s="373"/>
      <c r="L54" s="197"/>
    </row>
    <row r="55" spans="1:12" ht="18" hidden="1" customHeight="1">
      <c r="A55" s="7"/>
      <c r="B55" s="24" t="s">
        <v>5</v>
      </c>
      <c r="C55" s="374" t="str">
        <f>IF(C31="","",C31)</f>
        <v>71-1001</v>
      </c>
      <c r="D55" s="375"/>
      <c r="E55" s="2"/>
      <c r="F55" s="2"/>
      <c r="G55" s="2"/>
      <c r="H55" s="308"/>
      <c r="I55" s="8" t="s">
        <v>6</v>
      </c>
      <c r="J55" s="376" t="str">
        <f>IF(J31="","",J31)</f>
        <v>株式会社○○××</v>
      </c>
      <c r="K55" s="377"/>
      <c r="L55" s="10"/>
    </row>
    <row r="56" spans="1:12" ht="18" hidden="1" customHeight="1" thickBot="1">
      <c r="A56" s="7"/>
      <c r="B56" s="87" t="s">
        <v>7</v>
      </c>
      <c r="C56" s="384" t="str">
        <f>IF(C32="","",C32)</f>
        <v>10000XXX-00</v>
      </c>
      <c r="D56" s="385"/>
      <c r="E56" s="92"/>
      <c r="F56" s="93"/>
      <c r="G56" s="93"/>
      <c r="H56" s="9"/>
      <c r="I56" s="10"/>
      <c r="J56" s="10"/>
      <c r="K56" s="10"/>
      <c r="L56" s="10"/>
    </row>
    <row r="57" spans="1:12" ht="18" hidden="1" customHeight="1" thickBot="1">
      <c r="A57" s="7"/>
      <c r="B57" s="87" t="s">
        <v>8</v>
      </c>
      <c r="C57" s="386" t="str">
        <f>IF(C33="","",C33)</f>
        <v>テスト工事</v>
      </c>
      <c r="D57" s="387"/>
      <c r="E57" s="388"/>
      <c r="F57" s="388"/>
      <c r="G57" s="388"/>
      <c r="H57" s="11"/>
      <c r="I57" s="6"/>
      <c r="J57" s="6"/>
      <c r="K57" s="6"/>
    </row>
    <row r="58" spans="1:12" ht="18" hidden="1" customHeight="1">
      <c r="A58" s="7"/>
      <c r="B58" s="389" t="s">
        <v>9</v>
      </c>
      <c r="C58" s="390" t="s">
        <v>10</v>
      </c>
      <c r="D58" s="379" t="s">
        <v>11</v>
      </c>
      <c r="E58" s="379"/>
      <c r="F58" s="391" t="s">
        <v>12</v>
      </c>
      <c r="G58" s="392"/>
      <c r="H58" s="420" t="s">
        <v>13</v>
      </c>
      <c r="I58" s="421"/>
      <c r="J58" s="378" t="s">
        <v>14</v>
      </c>
      <c r="K58" s="380" t="s">
        <v>15</v>
      </c>
      <c r="L58" s="9"/>
    </row>
    <row r="59" spans="1:12" ht="18" hidden="1" customHeight="1">
      <c r="A59" s="7"/>
      <c r="B59" s="389"/>
      <c r="C59" s="379"/>
      <c r="D59" s="86" t="s">
        <v>16</v>
      </c>
      <c r="E59" s="86" t="s">
        <v>17</v>
      </c>
      <c r="F59" s="393"/>
      <c r="G59" s="394"/>
      <c r="H59" s="393"/>
      <c r="I59" s="394"/>
      <c r="J59" s="379"/>
      <c r="K59" s="381"/>
      <c r="L59" s="9"/>
    </row>
    <row r="60" spans="1:12" ht="22.5" hidden="1" customHeight="1">
      <c r="A60" s="7">
        <v>1</v>
      </c>
      <c r="B60" s="97" t="str">
        <f>IF(B36="","",B36)</f>
        <v>施工費</v>
      </c>
      <c r="C60" s="67">
        <f t="shared" ref="C60" si="13">IF(C36="","",C36)</f>
        <v>990000</v>
      </c>
      <c r="D60" s="66">
        <f>IF(D36="","",D36)</f>
        <v>1</v>
      </c>
      <c r="E60" s="67">
        <f>IF(E36="","",E36)</f>
        <v>990000</v>
      </c>
      <c r="F60" s="382">
        <f t="shared" ref="F60:I60" si="14">IF(F36="","",F36)</f>
        <v>990000</v>
      </c>
      <c r="G60" s="383" t="str">
        <f t="shared" si="14"/>
        <v/>
      </c>
      <c r="H60" s="382">
        <f t="shared" si="14"/>
        <v>0</v>
      </c>
      <c r="I60" s="383" t="str">
        <f t="shared" si="14"/>
        <v/>
      </c>
      <c r="J60" s="57">
        <f>IF(J36="","",J36)</f>
        <v>0</v>
      </c>
      <c r="K60" s="98" t="str">
        <f t="shared" ref="K60" si="15">IF(K36="","",K36)</f>
        <v/>
      </c>
      <c r="L60" s="208"/>
    </row>
    <row r="61" spans="1:12" ht="22.5" hidden="1" customHeight="1">
      <c r="A61" s="7">
        <v>2</v>
      </c>
      <c r="B61" s="97" t="str">
        <f t="shared" ref="B61:K61" si="16">IF(B37="","",B37)</f>
        <v>レンタル費</v>
      </c>
      <c r="C61" s="67">
        <f t="shared" si="16"/>
        <v>2329000</v>
      </c>
      <c r="D61" s="66">
        <f t="shared" si="16"/>
        <v>0.23529411764705882</v>
      </c>
      <c r="E61" s="67">
        <f t="shared" si="16"/>
        <v>548000</v>
      </c>
      <c r="F61" s="382">
        <f t="shared" si="16"/>
        <v>411000</v>
      </c>
      <c r="G61" s="383" t="str">
        <f t="shared" si="16"/>
        <v/>
      </c>
      <c r="H61" s="382">
        <f t="shared" si="16"/>
        <v>137000</v>
      </c>
      <c r="I61" s="383" t="str">
        <f t="shared" si="16"/>
        <v/>
      </c>
      <c r="J61" s="57">
        <f t="shared" si="16"/>
        <v>1781000</v>
      </c>
      <c r="K61" s="98" t="str">
        <f t="shared" si="16"/>
        <v/>
      </c>
      <c r="L61" s="208"/>
    </row>
    <row r="62" spans="1:12" ht="22.5" hidden="1" customHeight="1">
      <c r="A62" s="7">
        <v>3</v>
      </c>
      <c r="B62" s="97" t="str">
        <f t="shared" ref="B62:K62" si="17">IF(B38="","",B38)</f>
        <v>解体費</v>
      </c>
      <c r="C62" s="67">
        <f t="shared" si="17"/>
        <v>550000</v>
      </c>
      <c r="D62" s="66">
        <f t="shared" si="17"/>
        <v>0</v>
      </c>
      <c r="E62" s="67">
        <f t="shared" si="17"/>
        <v>0</v>
      </c>
      <c r="F62" s="382">
        <f t="shared" si="17"/>
        <v>0</v>
      </c>
      <c r="G62" s="383" t="str">
        <f t="shared" si="17"/>
        <v/>
      </c>
      <c r="H62" s="382">
        <f t="shared" si="17"/>
        <v>0</v>
      </c>
      <c r="I62" s="383" t="str">
        <f t="shared" si="17"/>
        <v/>
      </c>
      <c r="J62" s="57">
        <f t="shared" si="17"/>
        <v>550000</v>
      </c>
      <c r="K62" s="98" t="str">
        <f t="shared" si="17"/>
        <v/>
      </c>
      <c r="L62" s="208"/>
    </row>
    <row r="63" spans="1:12" ht="22.5" hidden="1" customHeight="1">
      <c r="A63" s="7">
        <v>4</v>
      </c>
      <c r="B63" s="97" t="str">
        <f t="shared" ref="B63:K63" si="18">IF(B39="","",B39)</f>
        <v>施工費</v>
      </c>
      <c r="C63" s="67">
        <f t="shared" si="18"/>
        <v>990000</v>
      </c>
      <c r="D63" s="66">
        <f t="shared" si="18"/>
        <v>0</v>
      </c>
      <c r="E63" s="67">
        <f t="shared" si="18"/>
        <v>0</v>
      </c>
      <c r="F63" s="382">
        <f t="shared" si="18"/>
        <v>0</v>
      </c>
      <c r="G63" s="383" t="str">
        <f t="shared" si="18"/>
        <v/>
      </c>
      <c r="H63" s="382">
        <f t="shared" si="18"/>
        <v>0</v>
      </c>
      <c r="I63" s="383" t="str">
        <f t="shared" si="18"/>
        <v/>
      </c>
      <c r="J63" s="57">
        <f t="shared" si="18"/>
        <v>990000</v>
      </c>
      <c r="K63" s="98" t="str">
        <f t="shared" si="18"/>
        <v/>
      </c>
      <c r="L63" s="208"/>
    </row>
    <row r="64" spans="1:12" ht="22.5" hidden="1" customHeight="1">
      <c r="A64" s="7">
        <v>5</v>
      </c>
      <c r="B64" s="97" t="str">
        <f t="shared" ref="B64:K64" si="19">IF(B41="","",B41)</f>
        <v>解体費</v>
      </c>
      <c r="C64" s="67">
        <f t="shared" si="19"/>
        <v>550000</v>
      </c>
      <c r="D64" s="66">
        <f t="shared" si="19"/>
        <v>0</v>
      </c>
      <c r="E64" s="67">
        <f t="shared" si="19"/>
        <v>0</v>
      </c>
      <c r="F64" s="382">
        <f t="shared" si="19"/>
        <v>0</v>
      </c>
      <c r="G64" s="383" t="str">
        <f t="shared" si="19"/>
        <v/>
      </c>
      <c r="H64" s="382">
        <f t="shared" si="19"/>
        <v>0</v>
      </c>
      <c r="I64" s="383" t="str">
        <f t="shared" si="19"/>
        <v/>
      </c>
      <c r="J64" s="57">
        <f t="shared" si="19"/>
        <v>550000</v>
      </c>
      <c r="K64" s="98" t="str">
        <f t="shared" si="19"/>
        <v/>
      </c>
      <c r="L64" s="208"/>
    </row>
    <row r="65" spans="1:12" ht="22.5" hidden="1" customHeight="1" thickBot="1">
      <c r="A65" s="7"/>
      <c r="B65" s="87" t="s">
        <v>18</v>
      </c>
      <c r="C65" s="20">
        <f t="shared" ref="C65:K65" si="20">IF(C42="","",C42)</f>
        <v>7738000</v>
      </c>
      <c r="D65" s="21">
        <f t="shared" si="20"/>
        <v>0.19875936934608426</v>
      </c>
      <c r="E65" s="20">
        <f t="shared" si="20"/>
        <v>1538000</v>
      </c>
      <c r="F65" s="411">
        <f t="shared" si="20"/>
        <v>1401000</v>
      </c>
      <c r="G65" s="412">
        <f t="shared" si="20"/>
        <v>0</v>
      </c>
      <c r="H65" s="413">
        <f t="shared" si="20"/>
        <v>137000</v>
      </c>
      <c r="I65" s="414">
        <f t="shared" si="20"/>
        <v>0</v>
      </c>
      <c r="J65" s="19">
        <f t="shared" si="20"/>
        <v>6200000</v>
      </c>
      <c r="K65" s="99" t="str">
        <f t="shared" si="20"/>
        <v/>
      </c>
      <c r="L65" s="208"/>
    </row>
    <row r="66" spans="1:12" ht="17.25" hidden="1" customHeight="1" thickBot="1">
      <c r="A66" s="7"/>
      <c r="B66" s="25" t="s">
        <v>19</v>
      </c>
      <c r="C66" s="415" t="str">
        <f>IF(C43="","",C43)</f>
        <v>㈱○○××</v>
      </c>
      <c r="D66" s="416"/>
      <c r="E66" s="417"/>
      <c r="F66" s="27" t="s">
        <v>20</v>
      </c>
      <c r="G66" s="104">
        <f>+G19</f>
        <v>0.1</v>
      </c>
      <c r="H66" s="418">
        <f t="shared" ref="H66:I66" si="21">IF(H43="","",H43)</f>
        <v>13700</v>
      </c>
      <c r="I66" s="419" t="str">
        <f t="shared" si="21"/>
        <v/>
      </c>
      <c r="J66" s="94"/>
      <c r="K66" s="398"/>
      <c r="L66" s="9"/>
    </row>
    <row r="67" spans="1:12" ht="17.25" hidden="1" customHeight="1">
      <c r="A67" s="7"/>
      <c r="B67" s="25" t="s">
        <v>21</v>
      </c>
      <c r="C67" s="401" t="str">
        <f>IF(C44="","",C44)</f>
        <v>◆◆銀行</v>
      </c>
      <c r="D67" s="402"/>
      <c r="E67" s="105" t="str">
        <f>IF(E44="","",E44)</f>
        <v>△△支店</v>
      </c>
      <c r="F67" s="403" t="s">
        <v>28</v>
      </c>
      <c r="G67" s="404"/>
      <c r="H67" s="407">
        <f>IF(H44="","",H44)</f>
        <v>150700</v>
      </c>
      <c r="I67" s="408"/>
      <c r="J67" s="269"/>
      <c r="K67" s="399"/>
      <c r="L67" s="9"/>
    </row>
    <row r="68" spans="1:12" ht="17.25" hidden="1" customHeight="1" thickBot="1">
      <c r="A68" s="7"/>
      <c r="B68" s="26" t="s">
        <v>22</v>
      </c>
      <c r="C68" s="100" t="str">
        <f>IF(C45="","",C45)</f>
        <v>普通</v>
      </c>
      <c r="D68" s="101" t="s">
        <v>26</v>
      </c>
      <c r="E68" s="102" t="str">
        <f>IF(E45="","",E45)</f>
        <v>0000000</v>
      </c>
      <c r="F68" s="405"/>
      <c r="G68" s="406"/>
      <c r="H68" s="409"/>
      <c r="I68" s="410"/>
      <c r="J68" s="270"/>
      <c r="K68" s="400"/>
      <c r="L68" s="9"/>
    </row>
    <row r="69" spans="1:12" ht="27" hidden="1" customHeight="1">
      <c r="B69" s="2"/>
      <c r="C69" s="2"/>
      <c r="D69" s="2"/>
      <c r="E69" s="2"/>
      <c r="F69" s="2"/>
      <c r="G69" s="396" t="s">
        <v>23</v>
      </c>
      <c r="H69" s="85" t="s">
        <v>24</v>
      </c>
      <c r="I69" s="103">
        <f>IF(I46="","",I46)</f>
        <v>0.3</v>
      </c>
      <c r="J69" s="253"/>
      <c r="K69" s="254"/>
      <c r="L69" s="204"/>
    </row>
    <row r="70" spans="1:12" ht="27" hidden="1" customHeight="1" thickBot="1">
      <c r="B70" s="2"/>
      <c r="C70" s="2"/>
      <c r="D70" s="2"/>
      <c r="E70" s="2"/>
      <c r="F70" s="2"/>
      <c r="G70" s="397"/>
      <c r="H70" s="28" t="s">
        <v>25</v>
      </c>
      <c r="I70" s="95">
        <f>1-I69</f>
        <v>0.7</v>
      </c>
      <c r="J70" s="255"/>
      <c r="K70" s="256"/>
      <c r="L70" s="204"/>
    </row>
    <row r="71" spans="1:12" ht="14.25" hidden="1" customHeight="1">
      <c r="B71" s="2"/>
      <c r="C71" s="2"/>
      <c r="D71" s="2"/>
      <c r="E71" s="2"/>
      <c r="F71" s="2"/>
      <c r="G71" s="245" t="s">
        <v>49</v>
      </c>
      <c r="H71" s="245"/>
      <c r="I71" s="2"/>
      <c r="J71" s="70" t="s">
        <v>50</v>
      </c>
      <c r="K71" s="48" t="s">
        <v>31</v>
      </c>
      <c r="L71" s="214"/>
    </row>
  </sheetData>
  <sheetProtection algorithmName="SHA-512" hashValue="HsqXsgxAZ84zQ5vHqYrHsVhu514RASy5yuzhdw8ppAIC3Q736DJxUK7WZphH3MjRXvaeMU/0tzNmimocaf6Szg==" saltValue="wZ+3oqcj3cFldbRNaaCrlQ==" spinCount="100000" sheet="1" objects="1" scenarios="1"/>
  <protectedRanges>
    <protectedRange sqref="J3:L8 K2:L2 C19:E21 I22 K12:L18" name="入力エリア"/>
  </protectedRanges>
  <mergeCells count="125">
    <mergeCell ref="F40:G40"/>
    <mergeCell ref="H40:I40"/>
    <mergeCell ref="N17:O17"/>
    <mergeCell ref="N41:O41"/>
    <mergeCell ref="G69:G70"/>
    <mergeCell ref="J69:K70"/>
    <mergeCell ref="K66:K68"/>
    <mergeCell ref="C67:D67"/>
    <mergeCell ref="F67:G68"/>
    <mergeCell ref="H67:I68"/>
    <mergeCell ref="J67:J68"/>
    <mergeCell ref="F64:G64"/>
    <mergeCell ref="H64:I64"/>
    <mergeCell ref="F65:G65"/>
    <mergeCell ref="H65:I65"/>
    <mergeCell ref="C66:E66"/>
    <mergeCell ref="H66:I66"/>
    <mergeCell ref="F61:G61"/>
    <mergeCell ref="H61:I61"/>
    <mergeCell ref="F62:G62"/>
    <mergeCell ref="H62:I62"/>
    <mergeCell ref="F63:G63"/>
    <mergeCell ref="H63:I63"/>
    <mergeCell ref="H58:I59"/>
    <mergeCell ref="J58:J59"/>
    <mergeCell ref="K58:K59"/>
    <mergeCell ref="F60:G60"/>
    <mergeCell ref="H60:I60"/>
    <mergeCell ref="C56:D56"/>
    <mergeCell ref="C57:G57"/>
    <mergeCell ref="B58:B59"/>
    <mergeCell ref="C58:C59"/>
    <mergeCell ref="D58:E58"/>
    <mergeCell ref="F58:G59"/>
    <mergeCell ref="G46:G47"/>
    <mergeCell ref="J46:K47"/>
    <mergeCell ref="D50:F50"/>
    <mergeCell ref="I50:J50"/>
    <mergeCell ref="J51:K52"/>
    <mergeCell ref="H52:H55"/>
    <mergeCell ref="I53:I54"/>
    <mergeCell ref="J53:K53"/>
    <mergeCell ref="J54:K54"/>
    <mergeCell ref="C55:D55"/>
    <mergeCell ref="J55:K55"/>
    <mergeCell ref="G48:H48"/>
    <mergeCell ref="C44:D44"/>
    <mergeCell ref="F44:G45"/>
    <mergeCell ref="H44:I45"/>
    <mergeCell ref="J44:J45"/>
    <mergeCell ref="F41:G41"/>
    <mergeCell ref="H41:I41"/>
    <mergeCell ref="F42:G42"/>
    <mergeCell ref="H42:I42"/>
    <mergeCell ref="C43:E43"/>
    <mergeCell ref="H43:I43"/>
    <mergeCell ref="F38:G38"/>
    <mergeCell ref="H38:I38"/>
    <mergeCell ref="F39:G39"/>
    <mergeCell ref="H39:I39"/>
    <mergeCell ref="H34:I35"/>
    <mergeCell ref="J34:J35"/>
    <mergeCell ref="K34:K35"/>
    <mergeCell ref="F36:G36"/>
    <mergeCell ref="H36:I36"/>
    <mergeCell ref="F13:G13"/>
    <mergeCell ref="F12:G12"/>
    <mergeCell ref="C20:D20"/>
    <mergeCell ref="H4:H7"/>
    <mergeCell ref="I5:I6"/>
    <mergeCell ref="J7:K7"/>
    <mergeCell ref="F37:G37"/>
    <mergeCell ref="H37:I37"/>
    <mergeCell ref="J32:K32"/>
    <mergeCell ref="J8:K8"/>
    <mergeCell ref="F16:G16"/>
    <mergeCell ref="H16:I16"/>
    <mergeCell ref="B34:B35"/>
    <mergeCell ref="C34:C35"/>
    <mergeCell ref="D34:E34"/>
    <mergeCell ref="F34:G35"/>
    <mergeCell ref="B10:B11"/>
    <mergeCell ref="D2:F2"/>
    <mergeCell ref="C8:D8"/>
    <mergeCell ref="I2:J2"/>
    <mergeCell ref="D26:F26"/>
    <mergeCell ref="I26:J26"/>
    <mergeCell ref="J27:K28"/>
    <mergeCell ref="H28:H31"/>
    <mergeCell ref="I29:I30"/>
    <mergeCell ref="J29:K29"/>
    <mergeCell ref="J30:K30"/>
    <mergeCell ref="C31:D31"/>
    <mergeCell ref="J31:K31"/>
    <mergeCell ref="C10:C11"/>
    <mergeCell ref="J10:J11"/>
    <mergeCell ref="D10:E10"/>
    <mergeCell ref="C9:G9"/>
    <mergeCell ref="C19:E19"/>
    <mergeCell ref="H12:I12"/>
    <mergeCell ref="H20:I21"/>
    <mergeCell ref="G71:H71"/>
    <mergeCell ref="J5:K5"/>
    <mergeCell ref="J6:K6"/>
    <mergeCell ref="C7:D7"/>
    <mergeCell ref="J3:K4"/>
    <mergeCell ref="G22:G23"/>
    <mergeCell ref="J22:K23"/>
    <mergeCell ref="H10:I11"/>
    <mergeCell ref="H18:I18"/>
    <mergeCell ref="H17:I17"/>
    <mergeCell ref="H15:I15"/>
    <mergeCell ref="H14:I14"/>
    <mergeCell ref="H13:I13"/>
    <mergeCell ref="K10:K11"/>
    <mergeCell ref="J20:J21"/>
    <mergeCell ref="F20:G21"/>
    <mergeCell ref="F10:G11"/>
    <mergeCell ref="H19:I19"/>
    <mergeCell ref="F18:G18"/>
    <mergeCell ref="F17:G17"/>
    <mergeCell ref="F15:G15"/>
    <mergeCell ref="C32:D32"/>
    <mergeCell ref="C33:G33"/>
    <mergeCell ref="F14:G14"/>
  </mergeCells>
  <phoneticPr fontId="2"/>
  <dataValidations count="4">
    <dataValidation type="list" allowBlank="1" showInputMessage="1" showErrorMessage="1" sqref="K49:L49" xr:uid="{00000000-0002-0000-0100-000001000000}">
      <formula1>請求書ＮＯ</formula1>
    </dataValidation>
    <dataValidation type="list" allowBlank="1" showInputMessage="1" showErrorMessage="1" sqref="C21" xr:uid="{65A59FE4-8666-4F6F-993C-0FDF33CC6898}">
      <formula1>"普通,当座"</formula1>
    </dataValidation>
    <dataValidation type="textLength" operator="equal" allowBlank="1" showInputMessage="1" showErrorMessage="1" errorTitle="登録番号入力エラー" error="登録番号の入力に誤りがあります。" promptTitle="登録番号" prompt="登録番号Ｔ+13桁の数字を入力してください。_x000a_免税事業者の場合は空欄にしてください。" sqref="J1" xr:uid="{48604FD5-96F7-4AF8-8963-86BCC14B9F63}">
      <formula1>14</formula1>
    </dataValidation>
    <dataValidation type="list" allowBlank="1" showInputMessage="1" showErrorMessage="1" promptTitle="消費税率の選択" prompt="10％：10%対象_x000a_*8％：軽減税率対象_x000a_8％：経過措置_x000a_5％：経過措置_x000a_非課税_x000a_不課税_x000a_" sqref="G19" xr:uid="{F5518116-36BC-4922-85FC-219623F7A50F}">
      <formula1>"10%,*8%,8%,5%,非課税,不課税"</formula1>
    </dataValidation>
  </dataValidations>
  <pageMargins left="0.39370078740157483" right="0.39370078740157483" top="0.39370078740157483" bottom="0.39370078740157483" header="0.39370078740157483" footer="0.31496062992125984"/>
  <pageSetup paperSize="9" scale="130" fitToHeight="2" orientation="landscape" r:id="rId1"/>
  <rowBreaks count="2" manualBreakCount="2">
    <brk id="24" max="16383" man="1"/>
    <brk id="48" min="1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7D56-D7BC-4069-AD2D-BB166418B0BE}">
  <dimension ref="A1:P69"/>
  <sheetViews>
    <sheetView view="pageBreakPreview" topLeftCell="B1" zoomScale="115" zoomScaleNormal="100" zoomScaleSheetLayoutView="115" workbookViewId="0">
      <selection activeCell="P6" sqref="P6"/>
    </sheetView>
  </sheetViews>
  <sheetFormatPr defaultRowHeight="15"/>
  <cols>
    <col min="1" max="1" width="2.75" style="1" hidden="1" customWidth="1"/>
    <col min="2" max="2" width="17.25" style="4" customWidth="1"/>
    <col min="3" max="3" width="15" style="4" customWidth="1"/>
    <col min="4" max="4" width="4" style="4" customWidth="1"/>
    <col min="5" max="5" width="15" style="4" customWidth="1"/>
    <col min="6" max="6" width="10" style="4" customWidth="1"/>
    <col min="7" max="8" width="5" style="4" customWidth="1"/>
    <col min="9" max="9" width="10" style="4" customWidth="1"/>
    <col min="10" max="10" width="15" style="4" customWidth="1"/>
    <col min="11" max="11" width="12.5" style="4" customWidth="1"/>
    <col min="12" max="16384" width="9" style="4"/>
  </cols>
  <sheetData>
    <row r="1" spans="1:16" ht="15.75" thickBot="1">
      <c r="B1" s="13" t="s">
        <v>0</v>
      </c>
      <c r="C1" s="2"/>
      <c r="D1" s="2"/>
      <c r="E1" s="2"/>
      <c r="F1" s="2"/>
      <c r="G1" s="2"/>
      <c r="H1" s="2"/>
      <c r="I1" s="2"/>
      <c r="J1" s="3"/>
      <c r="K1" s="84" t="s">
        <v>66</v>
      </c>
    </row>
    <row r="2" spans="1:16" ht="24.75" customHeight="1" thickBot="1">
      <c r="B2" s="2"/>
      <c r="C2" s="2"/>
      <c r="D2" s="299" t="s">
        <v>27</v>
      </c>
      <c r="E2" s="300"/>
      <c r="F2" s="300"/>
      <c r="G2" s="2"/>
      <c r="H2" s="2"/>
      <c r="I2" s="424">
        <f>VLOOKUP(K2,支払計画!C:D,2,0)</f>
        <v>45688</v>
      </c>
      <c r="J2" s="425"/>
      <c r="K2" s="29">
        <v>17</v>
      </c>
    </row>
    <row r="3" spans="1:16" ht="6.75" customHeight="1">
      <c r="B3" s="2"/>
      <c r="C3" s="2"/>
      <c r="D3" s="5"/>
      <c r="E3" s="5"/>
      <c r="F3" s="5"/>
      <c r="G3" s="2"/>
      <c r="I3" s="2"/>
      <c r="J3" s="250" t="s">
        <v>57</v>
      </c>
      <c r="K3" s="250"/>
    </row>
    <row r="4" spans="1:16" ht="11.25" customHeight="1">
      <c r="B4" s="2"/>
      <c r="C4" s="2"/>
      <c r="D4" s="2"/>
      <c r="E4" s="2"/>
      <c r="F4" s="2"/>
      <c r="G4" s="2"/>
      <c r="H4" s="308" t="s">
        <v>1</v>
      </c>
      <c r="I4" s="3" t="s">
        <v>2</v>
      </c>
      <c r="J4" s="250"/>
      <c r="K4" s="250"/>
    </row>
    <row r="5" spans="1:16" ht="24" customHeight="1">
      <c r="B5" s="2" t="s">
        <v>3</v>
      </c>
      <c r="C5" s="2"/>
      <c r="D5" s="2"/>
      <c r="E5" s="2"/>
      <c r="F5" s="2"/>
      <c r="G5" s="2"/>
      <c r="H5" s="308"/>
      <c r="I5" s="309" t="s">
        <v>4</v>
      </c>
      <c r="J5" s="246" t="s">
        <v>58</v>
      </c>
      <c r="K5" s="247"/>
    </row>
    <row r="6" spans="1:16" ht="15.75" thickBot="1">
      <c r="B6" s="6"/>
      <c r="C6" s="6"/>
      <c r="D6" s="6"/>
      <c r="E6" s="2"/>
      <c r="F6" s="2"/>
      <c r="G6" s="2"/>
      <c r="H6" s="308"/>
      <c r="I6" s="309"/>
      <c r="J6" s="246"/>
      <c r="K6" s="247"/>
    </row>
    <row r="7" spans="1:16" ht="18" customHeight="1">
      <c r="A7" s="7"/>
      <c r="B7" s="33" t="s">
        <v>5</v>
      </c>
      <c r="C7" s="426" t="str">
        <f>IF(支払計画!E2="","",支払計画!E2)</f>
        <v>71-1001</v>
      </c>
      <c r="D7" s="427"/>
      <c r="E7" s="16"/>
      <c r="F7" s="16"/>
      <c r="G7" s="16"/>
      <c r="H7" s="308"/>
      <c r="I7" s="75" t="s">
        <v>6</v>
      </c>
      <c r="J7" s="330" t="s">
        <v>59</v>
      </c>
      <c r="K7" s="331"/>
    </row>
    <row r="8" spans="1:16" ht="18" customHeight="1" thickBot="1">
      <c r="A8" s="7"/>
      <c r="B8" s="90" t="s">
        <v>7</v>
      </c>
      <c r="C8" s="432" t="str">
        <f>IF(支払計画!E3="","",支払計画!E3)</f>
        <v>10000XXX-00</v>
      </c>
      <c r="D8" s="433"/>
      <c r="E8" s="17"/>
      <c r="F8" s="18"/>
      <c r="G8" s="18"/>
      <c r="H8" s="9"/>
      <c r="I8" s="76" t="s">
        <v>55</v>
      </c>
      <c r="J8" s="434" t="s">
        <v>60</v>
      </c>
      <c r="K8" s="434"/>
    </row>
    <row r="9" spans="1:16" ht="18" customHeight="1" thickBot="1">
      <c r="A9" s="7"/>
      <c r="B9" s="90" t="s">
        <v>8</v>
      </c>
      <c r="C9" s="435" t="str">
        <f>IF(支払計画!E4="","",支払計画!E4)</f>
        <v>テスト工事</v>
      </c>
      <c r="D9" s="436"/>
      <c r="E9" s="437"/>
      <c r="F9" s="437"/>
      <c r="G9" s="437"/>
      <c r="H9" s="11"/>
      <c r="I9" s="6"/>
      <c r="J9" s="6"/>
      <c r="K9" s="6"/>
    </row>
    <row r="10" spans="1:16" ht="18" customHeight="1">
      <c r="A10" s="7"/>
      <c r="B10" s="298" t="s">
        <v>9</v>
      </c>
      <c r="C10" s="314" t="s">
        <v>10</v>
      </c>
      <c r="D10" s="315" t="s">
        <v>11</v>
      </c>
      <c r="E10" s="315"/>
      <c r="F10" s="275" t="s">
        <v>12</v>
      </c>
      <c r="G10" s="276"/>
      <c r="H10" s="257" t="s">
        <v>56</v>
      </c>
      <c r="I10" s="258"/>
      <c r="J10" s="422" t="s">
        <v>14</v>
      </c>
      <c r="K10" s="423" t="s">
        <v>15</v>
      </c>
    </row>
    <row r="11" spans="1:16" ht="18" customHeight="1">
      <c r="A11" s="7"/>
      <c r="B11" s="298"/>
      <c r="C11" s="315"/>
      <c r="D11" s="91" t="s">
        <v>16</v>
      </c>
      <c r="E11" s="91" t="s">
        <v>17</v>
      </c>
      <c r="F11" s="277"/>
      <c r="G11" s="278"/>
      <c r="H11" s="259"/>
      <c r="I11" s="260"/>
      <c r="J11" s="317"/>
      <c r="K11" s="268"/>
      <c r="P11" s="15"/>
    </row>
    <row r="12" spans="1:16" ht="22.5" customHeight="1">
      <c r="A12" s="7">
        <v>1</v>
      </c>
      <c r="B12" s="53" t="str">
        <f>IF(支払計画!F10="","",支払計画!F10)</f>
        <v>施工費</v>
      </c>
      <c r="C12" s="49">
        <f>IF(B12="","",VLOOKUP("x",支払計画!A:J,6,0))</f>
        <v>990000</v>
      </c>
      <c r="D12" s="50" t="str">
        <f>IF(C12="","",IF(E12/C12&gt;100%,"N/A",E12/C12))</f>
        <v>N/A</v>
      </c>
      <c r="E12" s="51">
        <f>IF(B12="","",VLOOKUP(K2,支払計画!C:Q,10,0))</f>
        <v>6503000</v>
      </c>
      <c r="F12" s="428">
        <f>IF(B12="","",IF(ISERROR(VLOOKUP(K2-1,支払計画!C:Q,10,0)),0,VLOOKUP(K2-1,支払計画!C:Q,10,0)))</f>
        <v>5679000</v>
      </c>
      <c r="G12" s="429"/>
      <c r="H12" s="430">
        <f>IF(B12="","",VLOOKUP(K2,支払計画!C:J,4,0))</f>
        <v>0</v>
      </c>
      <c r="I12" s="431"/>
      <c r="J12" s="79" t="str">
        <f>IF(C12="","",IF(C12-E12&lt;0,"N/A",+C12-E12))</f>
        <v>N/A</v>
      </c>
      <c r="K12" s="68"/>
    </row>
    <row r="13" spans="1:16" ht="22.5" customHeight="1">
      <c r="A13" s="7">
        <v>2</v>
      </c>
      <c r="B13" s="53" t="str">
        <f>IF(支払計画!G10="","",支払計画!G10)</f>
        <v>レンタル費</v>
      </c>
      <c r="C13" s="49">
        <f>IF(B13="","",VLOOKUP("x",支払計画!A:J,7,0))</f>
        <v>2329000</v>
      </c>
      <c r="D13" s="50">
        <f t="shared" ref="D13:D17" si="0">IF(C13="","",IF(E13/C13&gt;100%,"N/A",E13/C13))</f>
        <v>0.42507513954486903</v>
      </c>
      <c r="E13" s="51">
        <f>IF(B13="","",VLOOKUP(K2,支払計画!C:Q,11,0))</f>
        <v>990000</v>
      </c>
      <c r="F13" s="428">
        <f>IF(B13="","",IF(ISERROR(VLOOKUP(K2-1,支払計画!C:Q,10,0)),0,VLOOKUP(K2-1,支払計画!C:Q,11,0)))</f>
        <v>990000</v>
      </c>
      <c r="G13" s="429"/>
      <c r="H13" s="430">
        <f>IF(B13="","",VLOOKUP(K2,支払計画!C:J,5,0))</f>
        <v>137000</v>
      </c>
      <c r="I13" s="431"/>
      <c r="J13" s="79">
        <f>IF(C13="","",IF(C13-E13&lt;0,"N/A",+C13-E13))</f>
        <v>1339000</v>
      </c>
      <c r="K13" s="68"/>
    </row>
    <row r="14" spans="1:16" ht="22.5" customHeight="1">
      <c r="A14" s="7">
        <v>3</v>
      </c>
      <c r="B14" s="53" t="str">
        <f>IF(支払計画!H10="","",支払計画!H10)</f>
        <v>解体費</v>
      </c>
      <c r="C14" s="49">
        <f>IF(B14="","",VLOOKUP("x",支払計画!A:J,8,0))</f>
        <v>550000</v>
      </c>
      <c r="D14" s="50" t="str">
        <f t="shared" si="0"/>
        <v>N/A</v>
      </c>
      <c r="E14" s="51">
        <f>IF(B14="","",VLOOKUP(K2,支払計画!C:Q,12,0))</f>
        <v>2329000</v>
      </c>
      <c r="F14" s="428">
        <f>IF(B14="","",IF(ISERROR(VLOOKUP(K2-1,支払計画!C:Q,10,0)),0,VLOOKUP(K2-1,支払計画!C:Q,12,0)))</f>
        <v>2192000</v>
      </c>
      <c r="G14" s="429"/>
      <c r="H14" s="430">
        <f>IF(B14="","",VLOOKUP(K2,支払計画!C:J,6,0))</f>
        <v>550000</v>
      </c>
      <c r="I14" s="431"/>
      <c r="J14" s="79" t="str">
        <f t="shared" ref="J14:J17" si="1">IF(C14="","",IF(C14-E14&lt;0,"N/A",+C14-E14))</f>
        <v>N/A</v>
      </c>
      <c r="K14" s="68"/>
    </row>
    <row r="15" spans="1:16" ht="22.5" customHeight="1">
      <c r="A15" s="7">
        <v>4</v>
      </c>
      <c r="B15" s="53" t="str">
        <f>IF(支払計画!I10="","",支払計画!I10)</f>
        <v>施工費</v>
      </c>
      <c r="C15" s="49">
        <f>IF(B15="","",VLOOKUP("x",支払計画!A:J,9,0))</f>
        <v>990000</v>
      </c>
      <c r="D15" s="50">
        <f t="shared" si="0"/>
        <v>0.55555555555555558</v>
      </c>
      <c r="E15" s="51">
        <f>IF(B15="","",VLOOKUP(K2,支払計画!C:Q,13,0))</f>
        <v>550000</v>
      </c>
      <c r="F15" s="428">
        <f>IF(B15="","",IF(ISERROR(VLOOKUP(K2-1,支払計画!C:Q,10,0)),0,VLOOKUP(K2-1,支払計画!C:Q,13,0)))</f>
        <v>0</v>
      </c>
      <c r="G15" s="429"/>
      <c r="H15" s="430">
        <f>IF(B15="","",VLOOKUP(K2,支払計画!C:J,7,0))</f>
        <v>0</v>
      </c>
      <c r="I15" s="431"/>
      <c r="J15" s="79">
        <f t="shared" si="1"/>
        <v>440000</v>
      </c>
      <c r="K15" s="68"/>
    </row>
    <row r="16" spans="1:16" ht="22.5" customHeight="1">
      <c r="A16" s="7">
        <v>5</v>
      </c>
      <c r="B16" s="53" t="str">
        <f>IF(支払計画!J10="","",支払計画!J10)</f>
        <v>レンタル費</v>
      </c>
      <c r="C16" s="49">
        <f>IF(B16="","",VLOOKUP("x",支払計画!A:J,10,0))</f>
        <v>2329000</v>
      </c>
      <c r="D16" s="50">
        <f t="shared" si="0"/>
        <v>0.42507513954486903</v>
      </c>
      <c r="E16" s="51">
        <f>IF(B16="","",VLOOKUP(K2,支払計画!C:Q,14,0))</f>
        <v>990000</v>
      </c>
      <c r="F16" s="428">
        <f>IF(B16="",B16,IF(ISERROR(VLOOKUP(K2-1,支払計画!C:Q,10,0)),0,VLOOKUP(K2-1,支払計画!C:Q,14,0)))</f>
        <v>990000</v>
      </c>
      <c r="G16" s="429"/>
      <c r="H16" s="430">
        <f>IF(B16="","",VLOOKUP(K2,支払計画!C:J,8,0))</f>
        <v>137000</v>
      </c>
      <c r="I16" s="431"/>
      <c r="J16" s="79">
        <f t="shared" si="1"/>
        <v>1339000</v>
      </c>
      <c r="K16" s="68"/>
    </row>
    <row r="17" spans="1:11" ht="22.5" customHeight="1" thickBot="1">
      <c r="A17" s="7"/>
      <c r="B17" s="90" t="s">
        <v>18</v>
      </c>
      <c r="C17" s="52">
        <f>SUM(C12:C16)</f>
        <v>7188000</v>
      </c>
      <c r="D17" s="50" t="str">
        <f t="shared" si="0"/>
        <v>N/A</v>
      </c>
      <c r="E17" s="52">
        <f t="shared" ref="E17" si="2">IF(C17="","",+F17+H17)</f>
        <v>10675000</v>
      </c>
      <c r="F17" s="449">
        <f t="shared" ref="F17:I17" si="3">SUM(F12:F16)</f>
        <v>9851000</v>
      </c>
      <c r="G17" s="450">
        <f t="shared" si="3"/>
        <v>0</v>
      </c>
      <c r="H17" s="451">
        <f t="shared" si="3"/>
        <v>824000</v>
      </c>
      <c r="I17" s="452">
        <f t="shared" si="3"/>
        <v>0</v>
      </c>
      <c r="J17" s="80" t="str">
        <f t="shared" si="1"/>
        <v>N/A</v>
      </c>
      <c r="K17" s="69"/>
    </row>
    <row r="18" spans="1:11" ht="17.25" customHeight="1" thickBot="1">
      <c r="A18" s="7"/>
      <c r="B18" s="34" t="s">
        <v>19</v>
      </c>
      <c r="C18" s="438" t="s">
        <v>61</v>
      </c>
      <c r="D18" s="439"/>
      <c r="E18" s="440"/>
      <c r="F18" s="36" t="s">
        <v>20</v>
      </c>
      <c r="G18" s="78">
        <v>0.1</v>
      </c>
      <c r="H18" s="441">
        <f>ROUNDDOWN(H17*G18,0)</f>
        <v>82400</v>
      </c>
      <c r="I18" s="419"/>
      <c r="J18" s="12"/>
      <c r="K18" s="442"/>
    </row>
    <row r="19" spans="1:11" ht="17.25" customHeight="1">
      <c r="A19" s="7"/>
      <c r="B19" s="34" t="s">
        <v>21</v>
      </c>
      <c r="C19" s="445" t="s">
        <v>62</v>
      </c>
      <c r="D19" s="446"/>
      <c r="E19" s="73" t="s">
        <v>63</v>
      </c>
      <c r="F19" s="271" t="s">
        <v>28</v>
      </c>
      <c r="G19" s="272"/>
      <c r="H19" s="447">
        <f>+H17+H18</f>
        <v>906400</v>
      </c>
      <c r="I19" s="408"/>
      <c r="J19" s="269"/>
      <c r="K19" s="443"/>
    </row>
    <row r="20" spans="1:11" ht="17.25" customHeight="1" thickBot="1">
      <c r="A20" s="7"/>
      <c r="B20" s="35" t="s">
        <v>22</v>
      </c>
      <c r="C20" s="30" t="s">
        <v>54</v>
      </c>
      <c r="D20" s="31" t="s">
        <v>26</v>
      </c>
      <c r="E20" s="45" t="s">
        <v>64</v>
      </c>
      <c r="F20" s="273"/>
      <c r="G20" s="274"/>
      <c r="H20" s="448"/>
      <c r="I20" s="410"/>
      <c r="J20" s="270"/>
      <c r="K20" s="444"/>
    </row>
    <row r="21" spans="1:11" ht="27" customHeight="1">
      <c r="B21" s="2"/>
      <c r="C21" s="2"/>
      <c r="D21" s="2"/>
      <c r="E21" s="2"/>
      <c r="F21" s="71"/>
      <c r="G21" s="251" t="s">
        <v>23</v>
      </c>
      <c r="H21" s="37" t="s">
        <v>24</v>
      </c>
      <c r="I21" s="32">
        <v>0.3</v>
      </c>
      <c r="J21" s="253"/>
      <c r="K21" s="254"/>
    </row>
    <row r="22" spans="1:11" ht="27" customHeight="1" thickBot="1">
      <c r="B22" s="2"/>
      <c r="C22" s="2"/>
      <c r="D22" s="2"/>
      <c r="E22" s="2"/>
      <c r="F22" s="72"/>
      <c r="G22" s="252"/>
      <c r="H22" s="38" t="s">
        <v>25</v>
      </c>
      <c r="I22" s="14">
        <f>1-I21</f>
        <v>0.7</v>
      </c>
      <c r="J22" s="255"/>
      <c r="K22" s="256"/>
    </row>
    <row r="23" spans="1:11" ht="14.25" customHeight="1">
      <c r="B23" s="2"/>
      <c r="C23" s="2"/>
      <c r="D23" s="2"/>
      <c r="E23" s="2"/>
      <c r="F23" s="2"/>
      <c r="G23" s="2"/>
      <c r="H23" s="2"/>
      <c r="I23" s="2"/>
      <c r="J23" s="2"/>
      <c r="K23" s="46" t="s">
        <v>29</v>
      </c>
    </row>
    <row r="24" spans="1:11" ht="15.75" thickBot="1">
      <c r="B24" s="13" t="s">
        <v>0</v>
      </c>
      <c r="C24" s="2"/>
      <c r="D24" s="2"/>
      <c r="E24" s="2"/>
      <c r="F24" s="2"/>
      <c r="G24" s="2"/>
      <c r="H24" s="2"/>
      <c r="I24" s="2"/>
      <c r="J24" s="3"/>
      <c r="K24" s="84" t="str">
        <f>+K1</f>
        <v>(支払計画方式)</v>
      </c>
    </row>
    <row r="25" spans="1:11" ht="24.75" customHeight="1" thickBot="1">
      <c r="B25" s="2"/>
      <c r="C25" s="2"/>
      <c r="D25" s="299" t="s">
        <v>27</v>
      </c>
      <c r="E25" s="300"/>
      <c r="F25" s="300"/>
      <c r="G25" s="2"/>
      <c r="H25" s="2"/>
      <c r="I25" s="305">
        <f>IF(I2="","",I2)</f>
        <v>45688</v>
      </c>
      <c r="J25" s="306"/>
      <c r="K25" s="54">
        <f>IF(K2="","",K2)</f>
        <v>17</v>
      </c>
    </row>
    <row r="26" spans="1:11" ht="6.75" customHeight="1">
      <c r="B26" s="2"/>
      <c r="C26" s="2"/>
      <c r="D26" s="5"/>
      <c r="E26" s="5"/>
      <c r="F26" s="5"/>
      <c r="G26" s="2"/>
      <c r="I26" s="2"/>
      <c r="J26" s="454" t="str">
        <f>IF(J3="","",J3)</f>
        <v>000-0000</v>
      </c>
      <c r="K26" s="454"/>
    </row>
    <row r="27" spans="1:11" ht="11.25" customHeight="1">
      <c r="B27" s="2"/>
      <c r="C27" s="2"/>
      <c r="D27" s="2"/>
      <c r="E27" s="2"/>
      <c r="F27" s="2"/>
      <c r="G27" s="2"/>
      <c r="H27" s="308" t="s">
        <v>1</v>
      </c>
      <c r="I27" s="3" t="s">
        <v>2</v>
      </c>
      <c r="J27" s="454"/>
      <c r="K27" s="454"/>
    </row>
    <row r="28" spans="1:11" ht="24" customHeight="1">
      <c r="B28" s="2" t="s">
        <v>3</v>
      </c>
      <c r="C28" s="2"/>
      <c r="D28" s="2"/>
      <c r="E28" s="2"/>
      <c r="F28" s="2"/>
      <c r="G28" s="2"/>
      <c r="H28" s="308"/>
      <c r="I28" s="309" t="s">
        <v>4</v>
      </c>
      <c r="J28" s="455" t="str">
        <f>IF(J5="","",J5)</f>
        <v>○○県××市１－１－１</v>
      </c>
      <c r="K28" s="455"/>
    </row>
    <row r="29" spans="1:11" ht="15.75" thickBot="1">
      <c r="B29" s="6"/>
      <c r="C29" s="6"/>
      <c r="D29" s="6"/>
      <c r="E29" s="2"/>
      <c r="F29" s="2"/>
      <c r="G29" s="2"/>
      <c r="H29" s="308"/>
      <c r="I29" s="309"/>
      <c r="J29" s="456" t="str">
        <f t="shared" ref="J29:J31" si="4">IF(J6="","",J6)</f>
        <v/>
      </c>
      <c r="K29" s="456"/>
    </row>
    <row r="30" spans="1:11" ht="18" customHeight="1">
      <c r="A30" s="7"/>
      <c r="B30" s="39" t="s">
        <v>5</v>
      </c>
      <c r="C30" s="457" t="str">
        <f>IF(C7="","",C7)</f>
        <v>71-1001</v>
      </c>
      <c r="D30" s="458"/>
      <c r="E30" s="16"/>
      <c r="F30" s="16"/>
      <c r="G30" s="16"/>
      <c r="H30" s="308"/>
      <c r="I30" s="75" t="s">
        <v>6</v>
      </c>
      <c r="J30" s="463" t="str">
        <f t="shared" si="4"/>
        <v>株式会社○○××</v>
      </c>
      <c r="K30" s="464"/>
    </row>
    <row r="31" spans="1:11" ht="18" customHeight="1" thickBot="1">
      <c r="A31" s="7"/>
      <c r="B31" s="88" t="s">
        <v>7</v>
      </c>
      <c r="C31" s="465" t="str">
        <f>IF(C8="","",C8)</f>
        <v>10000XXX-00</v>
      </c>
      <c r="D31" s="466"/>
      <c r="E31" s="17"/>
      <c r="F31" s="18"/>
      <c r="G31" s="18"/>
      <c r="H31" s="9"/>
      <c r="I31" s="77" t="s">
        <v>55</v>
      </c>
      <c r="J31" s="336" t="str">
        <f t="shared" si="4"/>
        <v>00-0000-0000</v>
      </c>
      <c r="K31" s="336"/>
    </row>
    <row r="32" spans="1:11" ht="18" customHeight="1" thickBot="1">
      <c r="A32" s="7"/>
      <c r="B32" s="88" t="s">
        <v>8</v>
      </c>
      <c r="C32" s="467" t="str">
        <f>IF(C9="","",C9)</f>
        <v>テスト工事</v>
      </c>
      <c r="D32" s="468"/>
      <c r="E32" s="469"/>
      <c r="F32" s="469"/>
      <c r="G32" s="469"/>
      <c r="H32" s="11"/>
      <c r="I32" s="6"/>
      <c r="J32" s="6"/>
      <c r="K32" s="6"/>
    </row>
    <row r="33" spans="1:16" ht="18" customHeight="1">
      <c r="A33" s="7"/>
      <c r="B33" s="291" t="s">
        <v>9</v>
      </c>
      <c r="C33" s="453" t="s">
        <v>10</v>
      </c>
      <c r="D33" s="293" t="s">
        <v>11</v>
      </c>
      <c r="E33" s="293"/>
      <c r="F33" s="294" t="s">
        <v>12</v>
      </c>
      <c r="G33" s="295"/>
      <c r="H33" s="338" t="s">
        <v>56</v>
      </c>
      <c r="I33" s="339"/>
      <c r="J33" s="342" t="s">
        <v>14</v>
      </c>
      <c r="K33" s="344" t="s">
        <v>15</v>
      </c>
    </row>
    <row r="34" spans="1:16" ht="18" customHeight="1">
      <c r="A34" s="7"/>
      <c r="B34" s="291"/>
      <c r="C34" s="293"/>
      <c r="D34" s="89" t="s">
        <v>16</v>
      </c>
      <c r="E34" s="89" t="s">
        <v>17</v>
      </c>
      <c r="F34" s="296"/>
      <c r="G34" s="297"/>
      <c r="H34" s="340"/>
      <c r="I34" s="341"/>
      <c r="J34" s="343"/>
      <c r="K34" s="345"/>
      <c r="P34" s="15"/>
    </row>
    <row r="35" spans="1:16" ht="22.5" customHeight="1">
      <c r="A35" s="7">
        <v>1</v>
      </c>
      <c r="B35" s="55" t="str">
        <f>IF(B12="","",B12)</f>
        <v>施工費</v>
      </c>
      <c r="C35" s="56">
        <f t="shared" ref="C35:J41" si="5">IF(C12="","",C12)</f>
        <v>990000</v>
      </c>
      <c r="D35" s="22" t="str">
        <f>IF(D12="","",D12)</f>
        <v>N/A</v>
      </c>
      <c r="E35" s="23">
        <f>IF(E12="","",E12)</f>
        <v>6503000</v>
      </c>
      <c r="F35" s="459">
        <f t="shared" ref="F35:J39" si="6">IF(F12="","",F12)</f>
        <v>5679000</v>
      </c>
      <c r="G35" s="460" t="str">
        <f t="shared" si="6"/>
        <v/>
      </c>
      <c r="H35" s="461">
        <f t="shared" si="6"/>
        <v>0</v>
      </c>
      <c r="I35" s="462" t="str">
        <f t="shared" si="6"/>
        <v/>
      </c>
      <c r="J35" s="82" t="str">
        <f>IF(J12="","",J12)</f>
        <v>N/A</v>
      </c>
      <c r="K35" s="58" t="str">
        <f t="shared" ref="K35:K40" si="7">IF(K12="","",K12)</f>
        <v/>
      </c>
    </row>
    <row r="36" spans="1:16" ht="22.5" customHeight="1">
      <c r="A36" s="7">
        <v>2</v>
      </c>
      <c r="B36" s="55" t="str">
        <f t="shared" ref="B36:B39" si="8">IF(B13="","",B13)</f>
        <v>レンタル費</v>
      </c>
      <c r="C36" s="56">
        <f t="shared" si="5"/>
        <v>2329000</v>
      </c>
      <c r="D36" s="22">
        <f t="shared" si="5"/>
        <v>0.42507513954486903</v>
      </c>
      <c r="E36" s="23">
        <f t="shared" si="5"/>
        <v>990000</v>
      </c>
      <c r="F36" s="459">
        <f t="shared" si="6"/>
        <v>990000</v>
      </c>
      <c r="G36" s="460" t="str">
        <f t="shared" si="6"/>
        <v/>
      </c>
      <c r="H36" s="461">
        <f t="shared" si="6"/>
        <v>137000</v>
      </c>
      <c r="I36" s="462" t="str">
        <f t="shared" si="6"/>
        <v/>
      </c>
      <c r="J36" s="82">
        <f t="shared" si="6"/>
        <v>1339000</v>
      </c>
      <c r="K36" s="58" t="str">
        <f t="shared" si="7"/>
        <v/>
      </c>
    </row>
    <row r="37" spans="1:16" ht="22.5" customHeight="1">
      <c r="A37" s="7">
        <v>3</v>
      </c>
      <c r="B37" s="55" t="str">
        <f t="shared" si="8"/>
        <v>解体費</v>
      </c>
      <c r="C37" s="56">
        <f t="shared" si="5"/>
        <v>550000</v>
      </c>
      <c r="D37" s="22" t="str">
        <f t="shared" si="5"/>
        <v>N/A</v>
      </c>
      <c r="E37" s="23">
        <f t="shared" si="5"/>
        <v>2329000</v>
      </c>
      <c r="F37" s="459">
        <f t="shared" si="6"/>
        <v>2192000</v>
      </c>
      <c r="G37" s="460" t="str">
        <f t="shared" si="6"/>
        <v/>
      </c>
      <c r="H37" s="461">
        <f t="shared" si="6"/>
        <v>550000</v>
      </c>
      <c r="I37" s="462" t="str">
        <f t="shared" si="6"/>
        <v/>
      </c>
      <c r="J37" s="82" t="str">
        <f t="shared" si="6"/>
        <v>N/A</v>
      </c>
      <c r="K37" s="58" t="str">
        <f t="shared" si="7"/>
        <v/>
      </c>
    </row>
    <row r="38" spans="1:16" ht="22.5" customHeight="1">
      <c r="A38" s="7">
        <v>4</v>
      </c>
      <c r="B38" s="55" t="str">
        <f t="shared" si="8"/>
        <v>施工費</v>
      </c>
      <c r="C38" s="56">
        <f t="shared" si="5"/>
        <v>990000</v>
      </c>
      <c r="D38" s="22">
        <f t="shared" si="5"/>
        <v>0.55555555555555558</v>
      </c>
      <c r="E38" s="23">
        <f t="shared" si="5"/>
        <v>550000</v>
      </c>
      <c r="F38" s="459">
        <f t="shared" si="6"/>
        <v>0</v>
      </c>
      <c r="G38" s="460" t="str">
        <f t="shared" si="6"/>
        <v/>
      </c>
      <c r="H38" s="461">
        <f t="shared" si="6"/>
        <v>0</v>
      </c>
      <c r="I38" s="462" t="str">
        <f t="shared" si="6"/>
        <v/>
      </c>
      <c r="J38" s="82">
        <f t="shared" si="6"/>
        <v>440000</v>
      </c>
      <c r="K38" s="58" t="str">
        <f t="shared" si="7"/>
        <v/>
      </c>
    </row>
    <row r="39" spans="1:16" ht="22.5" customHeight="1">
      <c r="A39" s="7">
        <v>5</v>
      </c>
      <c r="B39" s="55" t="str">
        <f t="shared" si="8"/>
        <v>レンタル費</v>
      </c>
      <c r="C39" s="56">
        <f t="shared" si="5"/>
        <v>2329000</v>
      </c>
      <c r="D39" s="22">
        <f t="shared" si="5"/>
        <v>0.42507513954486903</v>
      </c>
      <c r="E39" s="23">
        <f t="shared" si="5"/>
        <v>990000</v>
      </c>
      <c r="F39" s="459">
        <f t="shared" si="6"/>
        <v>990000</v>
      </c>
      <c r="G39" s="460" t="str">
        <f t="shared" si="6"/>
        <v/>
      </c>
      <c r="H39" s="461">
        <f t="shared" si="6"/>
        <v>137000</v>
      </c>
      <c r="I39" s="462" t="str">
        <f t="shared" si="6"/>
        <v/>
      </c>
      <c r="J39" s="82">
        <f t="shared" si="6"/>
        <v>1339000</v>
      </c>
      <c r="K39" s="58" t="str">
        <f t="shared" si="7"/>
        <v/>
      </c>
    </row>
    <row r="40" spans="1:16" ht="22.5" customHeight="1" thickBot="1">
      <c r="A40" s="7"/>
      <c r="B40" s="88" t="s">
        <v>18</v>
      </c>
      <c r="C40" s="20">
        <f t="shared" si="5"/>
        <v>7188000</v>
      </c>
      <c r="D40" s="21" t="str">
        <f t="shared" si="5"/>
        <v>N/A</v>
      </c>
      <c r="E40" s="20">
        <f t="shared" si="5"/>
        <v>10675000</v>
      </c>
      <c r="F40" s="481">
        <f t="shared" si="5"/>
        <v>9851000</v>
      </c>
      <c r="G40" s="482">
        <f t="shared" si="5"/>
        <v>0</v>
      </c>
      <c r="H40" s="483">
        <f t="shared" si="5"/>
        <v>824000</v>
      </c>
      <c r="I40" s="484">
        <f t="shared" si="5"/>
        <v>0</v>
      </c>
      <c r="J40" s="83" t="str">
        <f t="shared" si="5"/>
        <v>N/A</v>
      </c>
      <c r="K40" s="59" t="str">
        <f t="shared" si="7"/>
        <v/>
      </c>
    </row>
    <row r="41" spans="1:16" ht="17.25" customHeight="1" thickBot="1">
      <c r="A41" s="7"/>
      <c r="B41" s="40" t="s">
        <v>19</v>
      </c>
      <c r="C41" s="470" t="str">
        <f>IF(C18="","",C18)</f>
        <v>㈱○○××</v>
      </c>
      <c r="D41" s="471"/>
      <c r="E41" s="472"/>
      <c r="F41" s="42" t="s">
        <v>20</v>
      </c>
      <c r="G41" s="81">
        <f>+G18</f>
        <v>0.1</v>
      </c>
      <c r="H41" s="473">
        <f t="shared" si="5"/>
        <v>82400</v>
      </c>
      <c r="I41" s="474" t="str">
        <f t="shared" si="5"/>
        <v/>
      </c>
      <c r="J41" s="12"/>
      <c r="K41" s="398"/>
    </row>
    <row r="42" spans="1:16" ht="17.25" customHeight="1">
      <c r="A42" s="7"/>
      <c r="B42" s="40" t="s">
        <v>21</v>
      </c>
      <c r="C42" s="475" t="str">
        <f>IF(C19="","",C19)</f>
        <v>◆◆銀行</v>
      </c>
      <c r="D42" s="476"/>
      <c r="E42" s="74" t="str">
        <f>IF(E19="","",E19)</f>
        <v>△△支店</v>
      </c>
      <c r="F42" s="348" t="s">
        <v>28</v>
      </c>
      <c r="G42" s="349"/>
      <c r="H42" s="477">
        <f>IF(H19="","",H19)</f>
        <v>906400</v>
      </c>
      <c r="I42" s="478"/>
      <c r="J42" s="269"/>
      <c r="K42" s="399"/>
    </row>
    <row r="43" spans="1:16" ht="17.25" customHeight="1" thickBot="1">
      <c r="A43" s="7"/>
      <c r="B43" s="41" t="s">
        <v>22</v>
      </c>
      <c r="C43" s="61" t="str">
        <f>IF(C20="","",C20)</f>
        <v>普通</v>
      </c>
      <c r="D43" s="62" t="s">
        <v>26</v>
      </c>
      <c r="E43" s="63" t="str">
        <f>IF(E20="","",E20)</f>
        <v>0000000</v>
      </c>
      <c r="F43" s="350"/>
      <c r="G43" s="351"/>
      <c r="H43" s="479"/>
      <c r="I43" s="480"/>
      <c r="J43" s="270"/>
      <c r="K43" s="400"/>
    </row>
    <row r="44" spans="1:16" ht="27" customHeight="1">
      <c r="B44" s="2"/>
      <c r="C44" s="2"/>
      <c r="D44" s="2"/>
      <c r="E44" s="2"/>
      <c r="F44" s="2"/>
      <c r="G44" s="369" t="s">
        <v>23</v>
      </c>
      <c r="H44" s="43" t="s">
        <v>24</v>
      </c>
      <c r="I44" s="64">
        <f>IF(I21="","",I21)</f>
        <v>0.3</v>
      </c>
      <c r="J44" s="253"/>
      <c r="K44" s="254"/>
    </row>
    <row r="45" spans="1:16" ht="27" customHeight="1" thickBot="1">
      <c r="B45" s="2"/>
      <c r="C45" s="2"/>
      <c r="D45" s="2"/>
      <c r="E45" s="2"/>
      <c r="F45" s="2"/>
      <c r="G45" s="370"/>
      <c r="H45" s="44" t="s">
        <v>25</v>
      </c>
      <c r="I45" s="14">
        <f>1-I44</f>
        <v>0.7</v>
      </c>
      <c r="J45" s="255"/>
      <c r="K45" s="256"/>
    </row>
    <row r="46" spans="1:16" ht="14.25" customHeight="1">
      <c r="B46" s="2"/>
      <c r="C46" s="2"/>
      <c r="D46" s="2"/>
      <c r="E46" s="2"/>
      <c r="F46" s="2"/>
      <c r="G46" s="245" t="s">
        <v>49</v>
      </c>
      <c r="H46" s="245"/>
      <c r="I46" s="2"/>
      <c r="J46" s="70" t="s">
        <v>50</v>
      </c>
      <c r="K46" s="47" t="s">
        <v>30</v>
      </c>
    </row>
    <row r="47" spans="1:16" hidden="1">
      <c r="B47" s="13" t="s">
        <v>0</v>
      </c>
      <c r="C47" s="2"/>
      <c r="D47" s="2"/>
      <c r="E47" s="2"/>
      <c r="F47" s="2"/>
      <c r="G47" s="2"/>
      <c r="H47" s="2"/>
      <c r="I47" s="2"/>
      <c r="J47" s="3"/>
      <c r="K47" s="1"/>
    </row>
    <row r="48" spans="1:16" ht="24.75" hidden="1" customHeight="1" thickBot="1">
      <c r="B48" s="2"/>
      <c r="C48" s="2"/>
      <c r="D48" s="299" t="s">
        <v>27</v>
      </c>
      <c r="E48" s="300"/>
      <c r="F48" s="300"/>
      <c r="G48" s="2"/>
      <c r="H48" s="2"/>
      <c r="I48" s="305">
        <f>IF(I25="","",I25)</f>
        <v>45688</v>
      </c>
      <c r="J48" s="306"/>
      <c r="K48" s="54">
        <f>IF(K25="","",K25)</f>
        <v>17</v>
      </c>
    </row>
    <row r="49" spans="1:16" ht="6.75" hidden="1" customHeight="1">
      <c r="B49" s="2"/>
      <c r="C49" s="2"/>
      <c r="D49" s="5"/>
      <c r="E49" s="5"/>
      <c r="F49" s="5"/>
      <c r="G49" s="2"/>
      <c r="I49" s="2"/>
      <c r="J49" s="485" t="str">
        <f>IF(J26="","",J26)</f>
        <v>000-0000</v>
      </c>
      <c r="K49" s="485"/>
    </row>
    <row r="50" spans="1:16" ht="11.25" hidden="1" customHeight="1">
      <c r="B50" s="2"/>
      <c r="C50" s="2"/>
      <c r="D50" s="2"/>
      <c r="E50" s="2"/>
      <c r="F50" s="2"/>
      <c r="G50" s="2"/>
      <c r="H50" s="308" t="s">
        <v>1</v>
      </c>
      <c r="I50" s="3" t="s">
        <v>2</v>
      </c>
      <c r="J50" s="485"/>
      <c r="K50" s="485"/>
    </row>
    <row r="51" spans="1:16" ht="24" hidden="1" customHeight="1">
      <c r="B51" s="2" t="s">
        <v>3</v>
      </c>
      <c r="C51" s="2"/>
      <c r="D51" s="2"/>
      <c r="E51" s="2"/>
      <c r="F51" s="2"/>
      <c r="G51" s="2"/>
      <c r="H51" s="308"/>
      <c r="I51" s="309" t="s">
        <v>4</v>
      </c>
      <c r="J51" s="486" t="str">
        <f>IF(J28="","",J28)</f>
        <v>○○県××市１－１－１</v>
      </c>
      <c r="K51" s="486"/>
    </row>
    <row r="52" spans="1:16" ht="15.75" hidden="1" thickBot="1">
      <c r="B52" s="6"/>
      <c r="C52" s="6"/>
      <c r="D52" s="6"/>
      <c r="E52" s="2"/>
      <c r="F52" s="2"/>
      <c r="G52" s="2"/>
      <c r="H52" s="308"/>
      <c r="I52" s="309"/>
      <c r="J52" s="487" t="str">
        <f t="shared" ref="J52:J53" si="9">IF(J29="","",J29)</f>
        <v/>
      </c>
      <c r="K52" s="487"/>
    </row>
    <row r="53" spans="1:16" ht="18" hidden="1" customHeight="1">
      <c r="A53" s="7"/>
      <c r="B53" s="24" t="s">
        <v>5</v>
      </c>
      <c r="C53" s="457" t="str">
        <f>IF(C30="","",C30)</f>
        <v>71-1001</v>
      </c>
      <c r="D53" s="458"/>
      <c r="E53" s="16"/>
      <c r="F53" s="16"/>
      <c r="G53" s="16"/>
      <c r="H53" s="308"/>
      <c r="I53" s="8" t="s">
        <v>6</v>
      </c>
      <c r="J53" s="488" t="str">
        <f t="shared" si="9"/>
        <v>株式会社○○××</v>
      </c>
      <c r="K53" s="489"/>
    </row>
    <row r="54" spans="1:16" ht="18" hidden="1" customHeight="1" thickBot="1">
      <c r="A54" s="7"/>
      <c r="B54" s="87" t="s">
        <v>7</v>
      </c>
      <c r="C54" s="465" t="str">
        <f>IF(C31="","",C31)</f>
        <v>10000XXX-00</v>
      </c>
      <c r="D54" s="466"/>
      <c r="E54" s="17"/>
      <c r="F54" s="18"/>
      <c r="G54" s="18"/>
      <c r="H54" s="9"/>
      <c r="I54" s="10"/>
      <c r="J54" s="10"/>
      <c r="K54" s="10"/>
    </row>
    <row r="55" spans="1:16" ht="18" hidden="1" customHeight="1" thickBot="1">
      <c r="A55" s="7"/>
      <c r="B55" s="87" t="s">
        <v>8</v>
      </c>
      <c r="C55" s="467" t="str">
        <f>IF(C32="","",C32)</f>
        <v>テスト工事</v>
      </c>
      <c r="D55" s="468"/>
      <c r="E55" s="469"/>
      <c r="F55" s="469"/>
      <c r="G55" s="469"/>
      <c r="H55" s="11"/>
      <c r="I55" s="6"/>
      <c r="J55" s="6"/>
      <c r="K55" s="6"/>
    </row>
    <row r="56" spans="1:16" ht="18" hidden="1" customHeight="1">
      <c r="A56" s="7"/>
      <c r="B56" s="389" t="s">
        <v>9</v>
      </c>
      <c r="C56" s="390" t="s">
        <v>10</v>
      </c>
      <c r="D56" s="379" t="s">
        <v>11</v>
      </c>
      <c r="E56" s="379"/>
      <c r="F56" s="391" t="s">
        <v>12</v>
      </c>
      <c r="G56" s="392"/>
      <c r="H56" s="420" t="s">
        <v>13</v>
      </c>
      <c r="I56" s="421"/>
      <c r="J56" s="378" t="s">
        <v>14</v>
      </c>
      <c r="K56" s="380" t="s">
        <v>15</v>
      </c>
    </row>
    <row r="57" spans="1:16" ht="18" hidden="1" customHeight="1">
      <c r="A57" s="7"/>
      <c r="B57" s="389"/>
      <c r="C57" s="379"/>
      <c r="D57" s="86" t="s">
        <v>16</v>
      </c>
      <c r="E57" s="86" t="s">
        <v>17</v>
      </c>
      <c r="F57" s="393"/>
      <c r="G57" s="394"/>
      <c r="H57" s="393"/>
      <c r="I57" s="394"/>
      <c r="J57" s="379"/>
      <c r="K57" s="381"/>
      <c r="P57" s="15"/>
    </row>
    <row r="58" spans="1:16" ht="22.5" hidden="1" customHeight="1">
      <c r="A58" s="7">
        <v>1</v>
      </c>
      <c r="B58" s="55" t="str">
        <f>IF(B35="","",B35)</f>
        <v>施工費</v>
      </c>
      <c r="C58" s="56">
        <f t="shared" ref="C58" si="10">IF(C35="","",C35)</f>
        <v>990000</v>
      </c>
      <c r="D58" s="66" t="str">
        <f>IF(D35="","",D35)</f>
        <v>N/A</v>
      </c>
      <c r="E58" s="67">
        <f>IF(E35="","",E35)</f>
        <v>6503000</v>
      </c>
      <c r="F58" s="459">
        <f t="shared" ref="F58:I58" si="11">IF(F35="","",F35)</f>
        <v>5679000</v>
      </c>
      <c r="G58" s="490" t="str">
        <f t="shared" si="11"/>
        <v/>
      </c>
      <c r="H58" s="459">
        <f t="shared" si="11"/>
        <v>0</v>
      </c>
      <c r="I58" s="490" t="str">
        <f t="shared" si="11"/>
        <v/>
      </c>
      <c r="J58" s="57" t="str">
        <f>IF(J35="","",J35)</f>
        <v>N/A</v>
      </c>
      <c r="K58" s="58" t="str">
        <f t="shared" ref="K58" si="12">IF(K35="","",K35)</f>
        <v/>
      </c>
    </row>
    <row r="59" spans="1:16" ht="22.5" hidden="1" customHeight="1">
      <c r="A59" s="7">
        <v>2</v>
      </c>
      <c r="B59" s="55" t="str">
        <f t="shared" ref="B59:K64" si="13">IF(B36="","",B36)</f>
        <v>レンタル費</v>
      </c>
      <c r="C59" s="56">
        <f t="shared" si="13"/>
        <v>2329000</v>
      </c>
      <c r="D59" s="66">
        <f t="shared" si="13"/>
        <v>0.42507513954486903</v>
      </c>
      <c r="E59" s="67">
        <f t="shared" si="13"/>
        <v>990000</v>
      </c>
      <c r="F59" s="459">
        <f t="shared" si="13"/>
        <v>990000</v>
      </c>
      <c r="G59" s="490" t="str">
        <f t="shared" si="13"/>
        <v/>
      </c>
      <c r="H59" s="459">
        <f t="shared" si="13"/>
        <v>137000</v>
      </c>
      <c r="I59" s="490" t="str">
        <f t="shared" si="13"/>
        <v/>
      </c>
      <c r="J59" s="57">
        <f t="shared" si="13"/>
        <v>1339000</v>
      </c>
      <c r="K59" s="58" t="str">
        <f t="shared" si="13"/>
        <v/>
      </c>
    </row>
    <row r="60" spans="1:16" ht="22.5" hidden="1" customHeight="1">
      <c r="A60" s="7">
        <v>3</v>
      </c>
      <c r="B60" s="55" t="str">
        <f t="shared" si="13"/>
        <v>解体費</v>
      </c>
      <c r="C60" s="56">
        <f t="shared" si="13"/>
        <v>550000</v>
      </c>
      <c r="D60" s="66" t="str">
        <f t="shared" si="13"/>
        <v>N/A</v>
      </c>
      <c r="E60" s="67">
        <f t="shared" si="13"/>
        <v>2329000</v>
      </c>
      <c r="F60" s="459">
        <f t="shared" si="13"/>
        <v>2192000</v>
      </c>
      <c r="G60" s="490" t="str">
        <f t="shared" si="13"/>
        <v/>
      </c>
      <c r="H60" s="459">
        <f t="shared" si="13"/>
        <v>550000</v>
      </c>
      <c r="I60" s="490" t="str">
        <f t="shared" si="13"/>
        <v/>
      </c>
      <c r="J60" s="57" t="str">
        <f t="shared" si="13"/>
        <v>N/A</v>
      </c>
      <c r="K60" s="58" t="str">
        <f t="shared" si="13"/>
        <v/>
      </c>
    </row>
    <row r="61" spans="1:16" ht="22.5" hidden="1" customHeight="1">
      <c r="A61" s="7">
        <v>4</v>
      </c>
      <c r="B61" s="55" t="str">
        <f t="shared" si="13"/>
        <v>施工費</v>
      </c>
      <c r="C61" s="56">
        <f t="shared" si="13"/>
        <v>990000</v>
      </c>
      <c r="D61" s="66">
        <f t="shared" si="13"/>
        <v>0.55555555555555558</v>
      </c>
      <c r="E61" s="67">
        <f t="shared" si="13"/>
        <v>550000</v>
      </c>
      <c r="F61" s="459">
        <f t="shared" si="13"/>
        <v>0</v>
      </c>
      <c r="G61" s="490" t="str">
        <f t="shared" si="13"/>
        <v/>
      </c>
      <c r="H61" s="459">
        <f t="shared" si="13"/>
        <v>0</v>
      </c>
      <c r="I61" s="490" t="str">
        <f t="shared" si="13"/>
        <v/>
      </c>
      <c r="J61" s="57">
        <f t="shared" si="13"/>
        <v>440000</v>
      </c>
      <c r="K61" s="58" t="str">
        <f t="shared" si="13"/>
        <v/>
      </c>
    </row>
    <row r="62" spans="1:16" ht="22.5" hidden="1" customHeight="1">
      <c r="A62" s="7">
        <v>5</v>
      </c>
      <c r="B62" s="55" t="str">
        <f t="shared" si="13"/>
        <v>レンタル費</v>
      </c>
      <c r="C62" s="56">
        <f t="shared" si="13"/>
        <v>2329000</v>
      </c>
      <c r="D62" s="66">
        <f t="shared" si="13"/>
        <v>0.42507513954486903</v>
      </c>
      <c r="E62" s="67">
        <f t="shared" si="13"/>
        <v>990000</v>
      </c>
      <c r="F62" s="459">
        <f t="shared" si="13"/>
        <v>990000</v>
      </c>
      <c r="G62" s="490" t="str">
        <f t="shared" si="13"/>
        <v/>
      </c>
      <c r="H62" s="459">
        <f t="shared" si="13"/>
        <v>137000</v>
      </c>
      <c r="I62" s="490" t="str">
        <f t="shared" si="13"/>
        <v/>
      </c>
      <c r="J62" s="57">
        <f t="shared" si="13"/>
        <v>1339000</v>
      </c>
      <c r="K62" s="58" t="str">
        <f t="shared" si="13"/>
        <v/>
      </c>
    </row>
    <row r="63" spans="1:16" ht="22.5" hidden="1" customHeight="1" thickBot="1">
      <c r="A63" s="7"/>
      <c r="B63" s="87" t="s">
        <v>18</v>
      </c>
      <c r="C63" s="20">
        <f t="shared" si="13"/>
        <v>7188000</v>
      </c>
      <c r="D63" s="21" t="str">
        <f t="shared" si="13"/>
        <v>N/A</v>
      </c>
      <c r="E63" s="20">
        <f t="shared" si="13"/>
        <v>10675000</v>
      </c>
      <c r="F63" s="411">
        <f t="shared" si="13"/>
        <v>9851000</v>
      </c>
      <c r="G63" s="412">
        <f t="shared" si="13"/>
        <v>0</v>
      </c>
      <c r="H63" s="413">
        <f t="shared" si="13"/>
        <v>824000</v>
      </c>
      <c r="I63" s="414">
        <f t="shared" si="13"/>
        <v>0</v>
      </c>
      <c r="J63" s="19" t="str">
        <f t="shared" si="13"/>
        <v>N/A</v>
      </c>
      <c r="K63" s="59" t="str">
        <f t="shared" si="13"/>
        <v/>
      </c>
    </row>
    <row r="64" spans="1:16" ht="17.25" hidden="1" customHeight="1" thickBot="1">
      <c r="A64" s="7"/>
      <c r="B64" s="25" t="s">
        <v>19</v>
      </c>
      <c r="C64" s="491" t="str">
        <f>IF(C41="","",C41)</f>
        <v>㈱○○××</v>
      </c>
      <c r="D64" s="492"/>
      <c r="E64" s="493"/>
      <c r="F64" s="27" t="s">
        <v>20</v>
      </c>
      <c r="G64" s="65">
        <f>+G18</f>
        <v>0.1</v>
      </c>
      <c r="H64" s="418">
        <f t="shared" si="13"/>
        <v>82400</v>
      </c>
      <c r="I64" s="419" t="str">
        <f t="shared" si="13"/>
        <v/>
      </c>
      <c r="J64" s="12"/>
      <c r="K64" s="398"/>
    </row>
    <row r="65" spans="1:11" ht="17.25" hidden="1" customHeight="1">
      <c r="A65" s="7"/>
      <c r="B65" s="25" t="s">
        <v>21</v>
      </c>
      <c r="C65" s="494" t="str">
        <f>IF(C42="","",C42)</f>
        <v>◆◆銀行</v>
      </c>
      <c r="D65" s="495"/>
      <c r="E65" s="60" t="str">
        <f>IF(E42="","",E42)</f>
        <v>△△支店</v>
      </c>
      <c r="F65" s="403" t="s">
        <v>28</v>
      </c>
      <c r="G65" s="404"/>
      <c r="H65" s="407">
        <f>IF(H42="","",H42)</f>
        <v>906400</v>
      </c>
      <c r="I65" s="408"/>
      <c r="J65" s="269"/>
      <c r="K65" s="399"/>
    </row>
    <row r="66" spans="1:11" ht="17.25" hidden="1" customHeight="1" thickBot="1">
      <c r="A66" s="7"/>
      <c r="B66" s="26" t="s">
        <v>22</v>
      </c>
      <c r="C66" s="61" t="str">
        <f>IF(C43="","",C43)</f>
        <v>普通</v>
      </c>
      <c r="D66" s="62" t="s">
        <v>26</v>
      </c>
      <c r="E66" s="63" t="str">
        <f>IF(E43="","",E43)</f>
        <v>0000000</v>
      </c>
      <c r="F66" s="405"/>
      <c r="G66" s="406"/>
      <c r="H66" s="409"/>
      <c r="I66" s="410"/>
      <c r="J66" s="270"/>
      <c r="K66" s="400"/>
    </row>
    <row r="67" spans="1:11" ht="27" hidden="1" customHeight="1">
      <c r="B67" s="2"/>
      <c r="C67" s="2"/>
      <c r="D67" s="2"/>
      <c r="E67" s="2"/>
      <c r="F67" s="2"/>
      <c r="G67" s="396" t="s">
        <v>23</v>
      </c>
      <c r="H67" s="85" t="s">
        <v>24</v>
      </c>
      <c r="I67" s="64">
        <f>IF(I44="","",I44)</f>
        <v>0.3</v>
      </c>
      <c r="J67" s="253"/>
      <c r="K67" s="254"/>
    </row>
    <row r="68" spans="1:11" ht="27" hidden="1" customHeight="1" thickBot="1">
      <c r="B68" s="2"/>
      <c r="C68" s="2"/>
      <c r="D68" s="2"/>
      <c r="E68" s="2"/>
      <c r="F68" s="2"/>
      <c r="G68" s="397"/>
      <c r="H68" s="28" t="s">
        <v>25</v>
      </c>
      <c r="I68" s="14">
        <f>1-I67</f>
        <v>0.7</v>
      </c>
      <c r="J68" s="255"/>
      <c r="K68" s="256"/>
    </row>
    <row r="69" spans="1:11" ht="14.25" hidden="1" customHeight="1">
      <c r="B69" s="2"/>
      <c r="C69" s="2"/>
      <c r="D69" s="2"/>
      <c r="E69" s="2"/>
      <c r="F69" s="2"/>
      <c r="G69" s="245" t="s">
        <v>49</v>
      </c>
      <c r="H69" s="245"/>
      <c r="I69" s="2"/>
      <c r="J69" s="70" t="s">
        <v>50</v>
      </c>
      <c r="K69" s="48" t="s">
        <v>31</v>
      </c>
    </row>
  </sheetData>
  <mergeCells count="121">
    <mergeCell ref="G67:G68"/>
    <mergeCell ref="J67:K68"/>
    <mergeCell ref="G69:H69"/>
    <mergeCell ref="C64:E64"/>
    <mergeCell ref="H64:I64"/>
    <mergeCell ref="K64:K66"/>
    <mergeCell ref="C65:D65"/>
    <mergeCell ref="F65:G66"/>
    <mergeCell ref="H65:I66"/>
    <mergeCell ref="J65:J66"/>
    <mergeCell ref="F62:G62"/>
    <mergeCell ref="H62:I62"/>
    <mergeCell ref="F63:G63"/>
    <mergeCell ref="H63:I63"/>
    <mergeCell ref="K56:K57"/>
    <mergeCell ref="F58:G58"/>
    <mergeCell ref="H58:I58"/>
    <mergeCell ref="F59:G59"/>
    <mergeCell ref="H59:I59"/>
    <mergeCell ref="F60:G60"/>
    <mergeCell ref="H60:I60"/>
    <mergeCell ref="C54:D54"/>
    <mergeCell ref="C55:G55"/>
    <mergeCell ref="B56:B57"/>
    <mergeCell ref="C56:C57"/>
    <mergeCell ref="D56:E56"/>
    <mergeCell ref="F56:G57"/>
    <mergeCell ref="H56:I57"/>
    <mergeCell ref="J56:J57"/>
    <mergeCell ref="F61:G61"/>
    <mergeCell ref="H61:I61"/>
    <mergeCell ref="G44:G45"/>
    <mergeCell ref="J44:K45"/>
    <mergeCell ref="G46:H46"/>
    <mergeCell ref="D48:F48"/>
    <mergeCell ref="I48:J48"/>
    <mergeCell ref="J49:K50"/>
    <mergeCell ref="H50:H53"/>
    <mergeCell ref="I51:I52"/>
    <mergeCell ref="J51:K51"/>
    <mergeCell ref="J52:K52"/>
    <mergeCell ref="C53:D53"/>
    <mergeCell ref="J53:K53"/>
    <mergeCell ref="C41:E41"/>
    <mergeCell ref="H41:I41"/>
    <mergeCell ref="K41:K43"/>
    <mergeCell ref="C42:D42"/>
    <mergeCell ref="F42:G43"/>
    <mergeCell ref="H42:I43"/>
    <mergeCell ref="J42:J43"/>
    <mergeCell ref="F38:G38"/>
    <mergeCell ref="H38:I38"/>
    <mergeCell ref="F39:G39"/>
    <mergeCell ref="H39:I39"/>
    <mergeCell ref="F40:G40"/>
    <mergeCell ref="H40:I40"/>
    <mergeCell ref="F35:G35"/>
    <mergeCell ref="H35:I35"/>
    <mergeCell ref="F36:G36"/>
    <mergeCell ref="H36:I36"/>
    <mergeCell ref="F37:G37"/>
    <mergeCell ref="H37:I37"/>
    <mergeCell ref="J30:K30"/>
    <mergeCell ref="C31:D31"/>
    <mergeCell ref="J31:K31"/>
    <mergeCell ref="C32:G32"/>
    <mergeCell ref="B33:B34"/>
    <mergeCell ref="C33:C34"/>
    <mergeCell ref="D33:E33"/>
    <mergeCell ref="F33:G34"/>
    <mergeCell ref="H33:I34"/>
    <mergeCell ref="J33:J34"/>
    <mergeCell ref="G21:G22"/>
    <mergeCell ref="J21:K22"/>
    <mergeCell ref="D25:F25"/>
    <mergeCell ref="I25:J25"/>
    <mergeCell ref="J26:K27"/>
    <mergeCell ref="H27:H30"/>
    <mergeCell ref="I28:I29"/>
    <mergeCell ref="J28:K28"/>
    <mergeCell ref="J29:K29"/>
    <mergeCell ref="C30:D30"/>
    <mergeCell ref="K33:K34"/>
    <mergeCell ref="C18:E18"/>
    <mergeCell ref="H18:I18"/>
    <mergeCell ref="K18:K20"/>
    <mergeCell ref="C19:D19"/>
    <mergeCell ref="F19:G20"/>
    <mergeCell ref="H19:I20"/>
    <mergeCell ref="J19:J20"/>
    <mergeCell ref="F15:G15"/>
    <mergeCell ref="H15:I15"/>
    <mergeCell ref="F16:G16"/>
    <mergeCell ref="H16:I16"/>
    <mergeCell ref="F17:G17"/>
    <mergeCell ref="H17:I17"/>
    <mergeCell ref="F12:G12"/>
    <mergeCell ref="H12:I12"/>
    <mergeCell ref="F13:G13"/>
    <mergeCell ref="H13:I13"/>
    <mergeCell ref="F14:G14"/>
    <mergeCell ref="H14:I14"/>
    <mergeCell ref="C8:D8"/>
    <mergeCell ref="J8:K8"/>
    <mergeCell ref="C9:G9"/>
    <mergeCell ref="B10:B11"/>
    <mergeCell ref="C10:C11"/>
    <mergeCell ref="D10:E10"/>
    <mergeCell ref="F10:G11"/>
    <mergeCell ref="H10:I11"/>
    <mergeCell ref="J10:J11"/>
    <mergeCell ref="K10:K11"/>
    <mergeCell ref="D2:F2"/>
    <mergeCell ref="I2:J2"/>
    <mergeCell ref="J3:K4"/>
    <mergeCell ref="H4:H7"/>
    <mergeCell ref="I5:I6"/>
    <mergeCell ref="J5:K5"/>
    <mergeCell ref="J6:K6"/>
    <mergeCell ref="C7:D7"/>
    <mergeCell ref="J7:K7"/>
  </mergeCells>
  <phoneticPr fontId="2"/>
  <dataValidations count="3">
    <dataValidation type="list" allowBlank="1" showInputMessage="1" showErrorMessage="1" sqref="G18" xr:uid="{537391CE-DF50-4EF6-A983-72F27F10F810}">
      <formula1>"10%,8%,5%"</formula1>
    </dataValidation>
    <dataValidation type="list" allowBlank="1" showInputMessage="1" showErrorMessage="1" sqref="C20" xr:uid="{DFBFA331-F66E-4952-929F-DB6010B4BF49}">
      <formula1>"普通,当座"</formula1>
    </dataValidation>
    <dataValidation type="list" allowBlank="1" showInputMessage="1" showErrorMessage="1" sqref="K47" xr:uid="{0A8D894D-EFAF-48E0-B625-542E14402E8A}">
      <formula1>請求書ＮＯ</formula1>
    </dataValidation>
  </dataValidations>
  <pageMargins left="0.39370078740157483" right="0.27559055118110237" top="0.43307086614173229" bottom="0.35433070866141736" header="0.39370078740157483" footer="0.31496062992125984"/>
  <pageSetup paperSize="9" scale="130" fitToHeight="2" orientation="landscape" r:id="rId1"/>
  <rowBreaks count="2" manualBreakCount="2">
    <brk id="23" min="1" max="10" man="1"/>
    <brk id="46" min="1" max="1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78A7-934A-42BA-9471-C69A3EE1E88E}">
  <dimension ref="A2:R66"/>
  <sheetViews>
    <sheetView view="pageBreakPreview" topLeftCell="B1" zoomScale="90" zoomScaleNormal="100" zoomScaleSheetLayoutView="90" workbookViewId="0">
      <selection activeCell="H15" sqref="H15"/>
    </sheetView>
  </sheetViews>
  <sheetFormatPr defaultRowHeight="13.5"/>
  <cols>
    <col min="1" max="1" width="9.75" style="111" hidden="1" customWidth="1"/>
    <col min="2" max="2" width="2.75" style="112" customWidth="1"/>
    <col min="3" max="3" width="5" style="113" customWidth="1"/>
    <col min="4" max="4" width="14.75" style="112" customWidth="1"/>
    <col min="5" max="5" width="13.625" style="112" customWidth="1"/>
    <col min="6" max="6" width="13.75" style="112" customWidth="1"/>
    <col min="7" max="11" width="13.625" style="112" customWidth="1"/>
    <col min="12" max="18" width="14.875" style="112" customWidth="1"/>
    <col min="19" max="16384" width="9" style="112"/>
  </cols>
  <sheetData>
    <row r="2" spans="2:18" ht="18" customHeight="1">
      <c r="D2" s="114" t="s">
        <v>37</v>
      </c>
      <c r="E2" s="106" t="s">
        <v>78</v>
      </c>
      <c r="J2" s="114" t="s">
        <v>70</v>
      </c>
      <c r="K2" s="154">
        <v>44136</v>
      </c>
    </row>
    <row r="3" spans="2:18" ht="18" customHeight="1">
      <c r="D3" s="115" t="s">
        <v>38</v>
      </c>
      <c r="E3" s="107" t="s">
        <v>65</v>
      </c>
    </row>
    <row r="4" spans="2:18" ht="18" customHeight="1">
      <c r="D4" s="115" t="s">
        <v>39</v>
      </c>
      <c r="E4" s="106" t="s">
        <v>79</v>
      </c>
      <c r="F4" s="106"/>
      <c r="G4" s="216"/>
      <c r="L4" s="113">
        <f>LEN(E4)</f>
        <v>5</v>
      </c>
      <c r="M4" s="112" t="s">
        <v>71</v>
      </c>
    </row>
    <row r="5" spans="2:18" ht="18" customHeight="1">
      <c r="D5" s="115" t="s">
        <v>40</v>
      </c>
      <c r="E5" s="108">
        <v>43831</v>
      </c>
      <c r="F5" s="109">
        <v>45260</v>
      </c>
    </row>
    <row r="6" spans="2:18" ht="18" customHeight="1">
      <c r="D6" s="115" t="s">
        <v>44</v>
      </c>
      <c r="E6" s="177">
        <f>E64</f>
        <v>7738000</v>
      </c>
      <c r="F6" s="112" t="s">
        <v>69</v>
      </c>
    </row>
    <row r="7" spans="2:18" ht="14.25" thickBot="1">
      <c r="E7" s="116"/>
      <c r="F7" s="116"/>
      <c r="G7" s="117"/>
      <c r="H7" s="117"/>
      <c r="I7" s="117"/>
      <c r="J7" s="117"/>
      <c r="K7" s="117"/>
    </row>
    <row r="8" spans="2:18" ht="21" customHeight="1">
      <c r="B8" s="118"/>
      <c r="C8" s="498" t="s">
        <v>41</v>
      </c>
      <c r="D8" s="501" t="s">
        <v>42</v>
      </c>
      <c r="E8" s="506" t="s">
        <v>45</v>
      </c>
      <c r="F8" s="507"/>
      <c r="G8" s="507"/>
      <c r="H8" s="507"/>
      <c r="I8" s="507"/>
      <c r="J8" s="507"/>
      <c r="K8" s="508"/>
      <c r="L8" s="506" t="s">
        <v>47</v>
      </c>
      <c r="M8" s="507"/>
      <c r="N8" s="507"/>
      <c r="O8" s="507"/>
      <c r="P8" s="507"/>
      <c r="Q8" s="507"/>
      <c r="R8" s="508"/>
    </row>
    <row r="9" spans="2:18" ht="21" customHeight="1">
      <c r="B9" s="118"/>
      <c r="C9" s="499"/>
      <c r="D9" s="502"/>
      <c r="E9" s="504" t="s">
        <v>43</v>
      </c>
      <c r="F9" s="119" t="s">
        <v>32</v>
      </c>
      <c r="G9" s="119" t="s">
        <v>33</v>
      </c>
      <c r="H9" s="119" t="s">
        <v>34</v>
      </c>
      <c r="I9" s="120" t="s">
        <v>35</v>
      </c>
      <c r="J9" s="119" t="s">
        <v>36</v>
      </c>
      <c r="K9" s="123" t="s">
        <v>68</v>
      </c>
      <c r="L9" s="496" t="s">
        <v>46</v>
      </c>
      <c r="M9" s="119" t="s">
        <v>32</v>
      </c>
      <c r="N9" s="122" t="s">
        <v>33</v>
      </c>
      <c r="O9" s="122" t="s">
        <v>34</v>
      </c>
      <c r="P9" s="119" t="s">
        <v>35</v>
      </c>
      <c r="Q9" s="119" t="s">
        <v>36</v>
      </c>
      <c r="R9" s="121" t="s">
        <v>68</v>
      </c>
    </row>
    <row r="10" spans="2:18" ht="21" customHeight="1" thickBot="1">
      <c r="B10" s="118"/>
      <c r="C10" s="500"/>
      <c r="D10" s="503"/>
      <c r="E10" s="505"/>
      <c r="F10" s="162" t="s">
        <v>51</v>
      </c>
      <c r="G10" s="163" t="s">
        <v>52</v>
      </c>
      <c r="H10" s="163" t="s">
        <v>53</v>
      </c>
      <c r="I10" s="163" t="s">
        <v>51</v>
      </c>
      <c r="J10" s="164" t="s">
        <v>52</v>
      </c>
      <c r="K10" s="191" t="s">
        <v>53</v>
      </c>
      <c r="L10" s="497"/>
      <c r="M10" s="125" t="str">
        <f t="shared" ref="M10:R10" si="0">IF(+F10="","",F10)</f>
        <v>施工費</v>
      </c>
      <c r="N10" s="126" t="str">
        <f t="shared" si="0"/>
        <v>レンタル費</v>
      </c>
      <c r="O10" s="126" t="str">
        <f t="shared" si="0"/>
        <v>解体費</v>
      </c>
      <c r="P10" s="126" t="str">
        <f t="shared" si="0"/>
        <v>施工費</v>
      </c>
      <c r="Q10" s="139" t="str">
        <f t="shared" si="0"/>
        <v>レンタル費</v>
      </c>
      <c r="R10" s="124" t="str">
        <f t="shared" si="0"/>
        <v>解体費</v>
      </c>
    </row>
    <row r="11" spans="2:18" ht="15" customHeight="1">
      <c r="B11" s="118"/>
      <c r="C11" s="218">
        <v>1</v>
      </c>
      <c r="D11" s="110">
        <v>45199</v>
      </c>
      <c r="E11" s="173">
        <f>+F11+G11+H11+I11+J11+K11</f>
        <v>1127000</v>
      </c>
      <c r="F11" s="165">
        <v>990000</v>
      </c>
      <c r="G11" s="166">
        <v>137000</v>
      </c>
      <c r="H11" s="166"/>
      <c r="I11" s="166"/>
      <c r="J11" s="166"/>
      <c r="K11" s="167"/>
      <c r="L11" s="178">
        <f>+E11</f>
        <v>1127000</v>
      </c>
      <c r="M11" s="179">
        <f t="shared" ref="M11:R11" si="1">+F11</f>
        <v>990000</v>
      </c>
      <c r="N11" s="180">
        <f t="shared" si="1"/>
        <v>137000</v>
      </c>
      <c r="O11" s="180">
        <f t="shared" si="1"/>
        <v>0</v>
      </c>
      <c r="P11" s="180">
        <f t="shared" si="1"/>
        <v>0</v>
      </c>
      <c r="Q11" s="180">
        <f t="shared" si="1"/>
        <v>0</v>
      </c>
      <c r="R11" s="181">
        <f t="shared" si="1"/>
        <v>0</v>
      </c>
    </row>
    <row r="12" spans="2:18" ht="15" customHeight="1">
      <c r="B12" s="118"/>
      <c r="C12" s="219">
        <v>2</v>
      </c>
      <c r="D12" s="127">
        <f>EOMONTH(D11,1)</f>
        <v>45230</v>
      </c>
      <c r="E12" s="174">
        <f t="shared" ref="E12:E62" si="2">+F12+G12+H12+I12+J12+K12</f>
        <v>137000</v>
      </c>
      <c r="F12" s="168"/>
      <c r="G12" s="169">
        <f>111000+4300+21700</f>
        <v>137000</v>
      </c>
      <c r="H12" s="169"/>
      <c r="I12" s="169"/>
      <c r="J12" s="169"/>
      <c r="K12" s="170"/>
      <c r="L12" s="174">
        <f>+L11+E12</f>
        <v>1264000</v>
      </c>
      <c r="M12" s="182">
        <f>+F12+M11</f>
        <v>990000</v>
      </c>
      <c r="N12" s="183">
        <f t="shared" ref="N12:N29" si="3">+G12+N11</f>
        <v>274000</v>
      </c>
      <c r="O12" s="183">
        <f t="shared" ref="O12:O29" si="4">+H12+O11</f>
        <v>0</v>
      </c>
      <c r="P12" s="183">
        <f t="shared" ref="P12:P29" si="5">+I12+P11</f>
        <v>0</v>
      </c>
      <c r="Q12" s="183">
        <f t="shared" ref="Q12:R29" si="6">+J12+Q11</f>
        <v>0</v>
      </c>
      <c r="R12" s="184">
        <f t="shared" si="6"/>
        <v>0</v>
      </c>
    </row>
    <row r="13" spans="2:18" ht="15" customHeight="1">
      <c r="B13" s="118"/>
      <c r="C13" s="219">
        <v>3</v>
      </c>
      <c r="D13" s="127">
        <f t="shared" ref="D13:D62" si="7">EOMONTH(D12,1)</f>
        <v>45260</v>
      </c>
      <c r="E13" s="174">
        <f t="shared" si="2"/>
        <v>137000</v>
      </c>
      <c r="F13" s="168"/>
      <c r="G13" s="169">
        <v>137000</v>
      </c>
      <c r="H13" s="169"/>
      <c r="I13" s="169"/>
      <c r="J13" s="169"/>
      <c r="K13" s="170"/>
      <c r="L13" s="174">
        <f t="shared" ref="L13:L29" si="8">+L12+E13</f>
        <v>1401000</v>
      </c>
      <c r="M13" s="182">
        <f t="shared" ref="M13:M29" si="9">+F13+M12</f>
        <v>990000</v>
      </c>
      <c r="N13" s="183">
        <f t="shared" si="3"/>
        <v>411000</v>
      </c>
      <c r="O13" s="183">
        <f t="shared" si="4"/>
        <v>0</v>
      </c>
      <c r="P13" s="183">
        <f t="shared" si="5"/>
        <v>0</v>
      </c>
      <c r="Q13" s="183">
        <f t="shared" si="6"/>
        <v>0</v>
      </c>
      <c r="R13" s="184">
        <f t="shared" si="6"/>
        <v>0</v>
      </c>
    </row>
    <row r="14" spans="2:18" ht="15" customHeight="1">
      <c r="B14" s="118"/>
      <c r="C14" s="219">
        <v>4</v>
      </c>
      <c r="D14" s="127">
        <f t="shared" si="7"/>
        <v>45291</v>
      </c>
      <c r="E14" s="174">
        <f t="shared" si="2"/>
        <v>137000</v>
      </c>
      <c r="F14" s="168"/>
      <c r="G14" s="169">
        <v>137000</v>
      </c>
      <c r="H14" s="169"/>
      <c r="I14" s="169"/>
      <c r="J14" s="169"/>
      <c r="K14" s="170"/>
      <c r="L14" s="174">
        <f t="shared" si="8"/>
        <v>1538000</v>
      </c>
      <c r="M14" s="182">
        <f t="shared" si="9"/>
        <v>990000</v>
      </c>
      <c r="N14" s="183">
        <f t="shared" si="3"/>
        <v>548000</v>
      </c>
      <c r="O14" s="183">
        <f t="shared" si="4"/>
        <v>0</v>
      </c>
      <c r="P14" s="183">
        <f t="shared" si="5"/>
        <v>0</v>
      </c>
      <c r="Q14" s="183">
        <f t="shared" si="6"/>
        <v>0</v>
      </c>
      <c r="R14" s="184">
        <f t="shared" si="6"/>
        <v>0</v>
      </c>
    </row>
    <row r="15" spans="2:18" ht="15" customHeight="1">
      <c r="B15" s="118"/>
      <c r="C15" s="219">
        <v>5</v>
      </c>
      <c r="D15" s="127">
        <f t="shared" si="7"/>
        <v>45322</v>
      </c>
      <c r="E15" s="174">
        <f t="shared" si="2"/>
        <v>137000</v>
      </c>
      <c r="F15" s="168"/>
      <c r="G15" s="169">
        <v>137000</v>
      </c>
      <c r="H15" s="169"/>
      <c r="I15" s="169"/>
      <c r="J15" s="169"/>
      <c r="K15" s="170"/>
      <c r="L15" s="174">
        <f t="shared" si="8"/>
        <v>1675000</v>
      </c>
      <c r="M15" s="182">
        <f t="shared" si="9"/>
        <v>990000</v>
      </c>
      <c r="N15" s="183">
        <f t="shared" si="3"/>
        <v>685000</v>
      </c>
      <c r="O15" s="183">
        <f t="shared" si="4"/>
        <v>0</v>
      </c>
      <c r="P15" s="183">
        <f t="shared" si="5"/>
        <v>0</v>
      </c>
      <c r="Q15" s="183">
        <f t="shared" si="6"/>
        <v>0</v>
      </c>
      <c r="R15" s="184">
        <f t="shared" si="6"/>
        <v>0</v>
      </c>
    </row>
    <row r="16" spans="2:18" ht="15" customHeight="1">
      <c r="B16" s="118"/>
      <c r="C16" s="219">
        <v>6</v>
      </c>
      <c r="D16" s="127">
        <f t="shared" si="7"/>
        <v>45351</v>
      </c>
      <c r="E16" s="174">
        <f t="shared" si="2"/>
        <v>1264000</v>
      </c>
      <c r="F16" s="168"/>
      <c r="G16" s="169">
        <v>137000</v>
      </c>
      <c r="H16" s="169"/>
      <c r="I16" s="169">
        <v>990000</v>
      </c>
      <c r="J16" s="169">
        <v>137000</v>
      </c>
      <c r="K16" s="170"/>
      <c r="L16" s="174">
        <f t="shared" si="8"/>
        <v>2939000</v>
      </c>
      <c r="M16" s="182">
        <f t="shared" si="9"/>
        <v>990000</v>
      </c>
      <c r="N16" s="183">
        <f t="shared" si="3"/>
        <v>822000</v>
      </c>
      <c r="O16" s="183">
        <f>+H16+O15</f>
        <v>0</v>
      </c>
      <c r="P16" s="183">
        <f t="shared" si="5"/>
        <v>990000</v>
      </c>
      <c r="Q16" s="183">
        <f t="shared" si="6"/>
        <v>137000</v>
      </c>
      <c r="R16" s="184">
        <f t="shared" si="6"/>
        <v>0</v>
      </c>
    </row>
    <row r="17" spans="2:18" ht="15" customHeight="1">
      <c r="B17" s="118"/>
      <c r="C17" s="219">
        <v>7</v>
      </c>
      <c r="D17" s="127">
        <f t="shared" si="7"/>
        <v>45382</v>
      </c>
      <c r="E17" s="174">
        <f t="shared" si="2"/>
        <v>274000</v>
      </c>
      <c r="F17" s="168"/>
      <c r="G17" s="169">
        <v>137000</v>
      </c>
      <c r="H17" s="169"/>
      <c r="I17" s="169"/>
      <c r="J17" s="169">
        <v>137000</v>
      </c>
      <c r="K17" s="170"/>
      <c r="L17" s="174">
        <f t="shared" si="8"/>
        <v>3213000</v>
      </c>
      <c r="M17" s="182">
        <f t="shared" si="9"/>
        <v>990000</v>
      </c>
      <c r="N17" s="183">
        <f t="shared" si="3"/>
        <v>959000</v>
      </c>
      <c r="O17" s="183">
        <f t="shared" si="4"/>
        <v>0</v>
      </c>
      <c r="P17" s="183">
        <f t="shared" si="5"/>
        <v>990000</v>
      </c>
      <c r="Q17" s="183">
        <f t="shared" si="6"/>
        <v>274000</v>
      </c>
      <c r="R17" s="184">
        <f t="shared" si="6"/>
        <v>0</v>
      </c>
    </row>
    <row r="18" spans="2:18" ht="15" customHeight="1">
      <c r="B18" s="118"/>
      <c r="C18" s="219">
        <v>8</v>
      </c>
      <c r="D18" s="127">
        <f t="shared" si="7"/>
        <v>45412</v>
      </c>
      <c r="E18" s="174">
        <f t="shared" si="2"/>
        <v>274000</v>
      </c>
      <c r="F18" s="168"/>
      <c r="G18" s="169">
        <v>137000</v>
      </c>
      <c r="H18" s="169"/>
      <c r="I18" s="169"/>
      <c r="J18" s="169">
        <v>137000</v>
      </c>
      <c r="K18" s="170"/>
      <c r="L18" s="174">
        <f t="shared" si="8"/>
        <v>3487000</v>
      </c>
      <c r="M18" s="182">
        <f t="shared" si="9"/>
        <v>990000</v>
      </c>
      <c r="N18" s="183">
        <f t="shared" si="3"/>
        <v>1096000</v>
      </c>
      <c r="O18" s="183">
        <f t="shared" si="4"/>
        <v>0</v>
      </c>
      <c r="P18" s="183">
        <f t="shared" si="5"/>
        <v>990000</v>
      </c>
      <c r="Q18" s="183">
        <f t="shared" si="6"/>
        <v>411000</v>
      </c>
      <c r="R18" s="184">
        <f t="shared" si="6"/>
        <v>0</v>
      </c>
    </row>
    <row r="19" spans="2:18" ht="15" customHeight="1">
      <c r="B19" s="118"/>
      <c r="C19" s="219">
        <v>9</v>
      </c>
      <c r="D19" s="127">
        <f t="shared" si="7"/>
        <v>45443</v>
      </c>
      <c r="E19" s="174">
        <f t="shared" si="2"/>
        <v>274000</v>
      </c>
      <c r="F19" s="168"/>
      <c r="G19" s="169">
        <v>137000</v>
      </c>
      <c r="H19" s="169"/>
      <c r="I19" s="169"/>
      <c r="J19" s="169">
        <v>137000</v>
      </c>
      <c r="K19" s="170"/>
      <c r="L19" s="174">
        <f t="shared" si="8"/>
        <v>3761000</v>
      </c>
      <c r="M19" s="182">
        <f t="shared" si="9"/>
        <v>990000</v>
      </c>
      <c r="N19" s="183">
        <f t="shared" si="3"/>
        <v>1233000</v>
      </c>
      <c r="O19" s="183">
        <f t="shared" si="4"/>
        <v>0</v>
      </c>
      <c r="P19" s="183">
        <f t="shared" si="5"/>
        <v>990000</v>
      </c>
      <c r="Q19" s="183">
        <f t="shared" si="6"/>
        <v>548000</v>
      </c>
      <c r="R19" s="184">
        <f t="shared" si="6"/>
        <v>0</v>
      </c>
    </row>
    <row r="20" spans="2:18" ht="15" customHeight="1">
      <c r="B20" s="118"/>
      <c r="C20" s="219">
        <v>10</v>
      </c>
      <c r="D20" s="127">
        <f t="shared" si="7"/>
        <v>45473</v>
      </c>
      <c r="E20" s="174">
        <f t="shared" si="2"/>
        <v>274000</v>
      </c>
      <c r="F20" s="168"/>
      <c r="G20" s="169">
        <v>137000</v>
      </c>
      <c r="H20" s="169"/>
      <c r="I20" s="169"/>
      <c r="J20" s="169">
        <v>137000</v>
      </c>
      <c r="K20" s="170"/>
      <c r="L20" s="174">
        <f t="shared" si="8"/>
        <v>4035000</v>
      </c>
      <c r="M20" s="182">
        <f t="shared" si="9"/>
        <v>990000</v>
      </c>
      <c r="N20" s="183">
        <f t="shared" si="3"/>
        <v>1370000</v>
      </c>
      <c r="O20" s="183">
        <f t="shared" si="4"/>
        <v>0</v>
      </c>
      <c r="P20" s="183">
        <f t="shared" si="5"/>
        <v>990000</v>
      </c>
      <c r="Q20" s="183">
        <f t="shared" si="6"/>
        <v>685000</v>
      </c>
      <c r="R20" s="184">
        <f t="shared" si="6"/>
        <v>0</v>
      </c>
    </row>
    <row r="21" spans="2:18" ht="15" customHeight="1">
      <c r="B21" s="118"/>
      <c r="C21" s="219">
        <v>11</v>
      </c>
      <c r="D21" s="127">
        <f t="shared" si="7"/>
        <v>45504</v>
      </c>
      <c r="E21" s="174">
        <f t="shared" si="2"/>
        <v>274000</v>
      </c>
      <c r="F21" s="168"/>
      <c r="G21" s="169">
        <v>137000</v>
      </c>
      <c r="H21" s="169"/>
      <c r="I21" s="169"/>
      <c r="J21" s="169">
        <v>137000</v>
      </c>
      <c r="K21" s="170"/>
      <c r="L21" s="174">
        <f t="shared" si="8"/>
        <v>4309000</v>
      </c>
      <c r="M21" s="182">
        <f t="shared" si="9"/>
        <v>990000</v>
      </c>
      <c r="N21" s="183">
        <f t="shared" si="3"/>
        <v>1507000</v>
      </c>
      <c r="O21" s="183">
        <f t="shared" si="4"/>
        <v>0</v>
      </c>
      <c r="P21" s="183">
        <f t="shared" si="5"/>
        <v>990000</v>
      </c>
      <c r="Q21" s="183">
        <f t="shared" si="6"/>
        <v>822000</v>
      </c>
      <c r="R21" s="184">
        <f t="shared" si="6"/>
        <v>0</v>
      </c>
    </row>
    <row r="22" spans="2:18" ht="15" customHeight="1">
      <c r="B22" s="118"/>
      <c r="C22" s="219">
        <v>12</v>
      </c>
      <c r="D22" s="127">
        <f t="shared" si="7"/>
        <v>45535</v>
      </c>
      <c r="E22" s="174">
        <f t="shared" si="2"/>
        <v>274000</v>
      </c>
      <c r="F22" s="168"/>
      <c r="G22" s="169">
        <v>137000</v>
      </c>
      <c r="H22" s="169"/>
      <c r="I22" s="169"/>
      <c r="J22" s="169">
        <v>137000</v>
      </c>
      <c r="K22" s="170"/>
      <c r="L22" s="174">
        <f t="shared" si="8"/>
        <v>4583000</v>
      </c>
      <c r="M22" s="182">
        <f t="shared" si="9"/>
        <v>990000</v>
      </c>
      <c r="N22" s="183">
        <f t="shared" si="3"/>
        <v>1644000</v>
      </c>
      <c r="O22" s="183">
        <f t="shared" si="4"/>
        <v>0</v>
      </c>
      <c r="P22" s="183">
        <f t="shared" si="5"/>
        <v>990000</v>
      </c>
      <c r="Q22" s="183">
        <f t="shared" si="6"/>
        <v>959000</v>
      </c>
      <c r="R22" s="184">
        <f t="shared" si="6"/>
        <v>0</v>
      </c>
    </row>
    <row r="23" spans="2:18" ht="15" customHeight="1">
      <c r="B23" s="118"/>
      <c r="C23" s="219">
        <v>13</v>
      </c>
      <c r="D23" s="127">
        <f t="shared" si="7"/>
        <v>45565</v>
      </c>
      <c r="E23" s="175">
        <f t="shared" si="2"/>
        <v>274000</v>
      </c>
      <c r="F23" s="168"/>
      <c r="G23" s="169">
        <v>137000</v>
      </c>
      <c r="H23" s="169"/>
      <c r="I23" s="169"/>
      <c r="J23" s="169">
        <v>137000</v>
      </c>
      <c r="K23" s="170"/>
      <c r="L23" s="174">
        <f t="shared" si="8"/>
        <v>4857000</v>
      </c>
      <c r="M23" s="182">
        <f t="shared" si="9"/>
        <v>990000</v>
      </c>
      <c r="N23" s="183">
        <f t="shared" si="3"/>
        <v>1781000</v>
      </c>
      <c r="O23" s="183">
        <f t="shared" si="4"/>
        <v>0</v>
      </c>
      <c r="P23" s="183">
        <f t="shared" si="5"/>
        <v>990000</v>
      </c>
      <c r="Q23" s="183">
        <f t="shared" si="6"/>
        <v>1096000</v>
      </c>
      <c r="R23" s="184">
        <f t="shared" si="6"/>
        <v>0</v>
      </c>
    </row>
    <row r="24" spans="2:18" ht="15" customHeight="1">
      <c r="B24" s="118"/>
      <c r="C24" s="219">
        <v>14</v>
      </c>
      <c r="D24" s="127">
        <f t="shared" si="7"/>
        <v>45596</v>
      </c>
      <c r="E24" s="174">
        <f t="shared" si="2"/>
        <v>274000</v>
      </c>
      <c r="F24" s="168"/>
      <c r="G24" s="169">
        <v>137000</v>
      </c>
      <c r="H24" s="169"/>
      <c r="I24" s="169"/>
      <c r="J24" s="169">
        <v>137000</v>
      </c>
      <c r="K24" s="170"/>
      <c r="L24" s="174">
        <f t="shared" si="8"/>
        <v>5131000</v>
      </c>
      <c r="M24" s="182">
        <f t="shared" si="9"/>
        <v>990000</v>
      </c>
      <c r="N24" s="183">
        <f t="shared" si="3"/>
        <v>1918000</v>
      </c>
      <c r="O24" s="183">
        <f t="shared" si="4"/>
        <v>0</v>
      </c>
      <c r="P24" s="183">
        <f t="shared" si="5"/>
        <v>990000</v>
      </c>
      <c r="Q24" s="183">
        <f t="shared" si="6"/>
        <v>1233000</v>
      </c>
      <c r="R24" s="184">
        <f t="shared" si="6"/>
        <v>0</v>
      </c>
    </row>
    <row r="25" spans="2:18" ht="15" customHeight="1">
      <c r="B25" s="118"/>
      <c r="C25" s="219">
        <v>15</v>
      </c>
      <c r="D25" s="127">
        <f t="shared" si="7"/>
        <v>45626</v>
      </c>
      <c r="E25" s="174">
        <f t="shared" si="2"/>
        <v>274000</v>
      </c>
      <c r="F25" s="168"/>
      <c r="G25" s="169">
        <v>137000</v>
      </c>
      <c r="H25" s="169"/>
      <c r="I25" s="169"/>
      <c r="J25" s="169">
        <v>137000</v>
      </c>
      <c r="K25" s="170"/>
      <c r="L25" s="174">
        <f t="shared" si="8"/>
        <v>5405000</v>
      </c>
      <c r="M25" s="182">
        <f t="shared" si="9"/>
        <v>990000</v>
      </c>
      <c r="N25" s="183">
        <f t="shared" si="3"/>
        <v>2055000</v>
      </c>
      <c r="O25" s="183">
        <f t="shared" si="4"/>
        <v>0</v>
      </c>
      <c r="P25" s="183">
        <f t="shared" si="5"/>
        <v>990000</v>
      </c>
      <c r="Q25" s="183">
        <f t="shared" si="6"/>
        <v>1370000</v>
      </c>
      <c r="R25" s="184">
        <f t="shared" si="6"/>
        <v>0</v>
      </c>
    </row>
    <row r="26" spans="2:18" ht="15" customHeight="1">
      <c r="B26" s="118"/>
      <c r="C26" s="219">
        <v>16</v>
      </c>
      <c r="D26" s="127">
        <f t="shared" si="7"/>
        <v>45657</v>
      </c>
      <c r="E26" s="174">
        <f t="shared" si="2"/>
        <v>274000</v>
      </c>
      <c r="F26" s="168"/>
      <c r="G26" s="169">
        <v>137000</v>
      </c>
      <c r="H26" s="169"/>
      <c r="I26" s="169"/>
      <c r="J26" s="169">
        <v>137000</v>
      </c>
      <c r="K26" s="170"/>
      <c r="L26" s="174">
        <f t="shared" si="8"/>
        <v>5679000</v>
      </c>
      <c r="M26" s="182">
        <f t="shared" si="9"/>
        <v>990000</v>
      </c>
      <c r="N26" s="183">
        <f t="shared" si="3"/>
        <v>2192000</v>
      </c>
      <c r="O26" s="183">
        <f t="shared" si="4"/>
        <v>0</v>
      </c>
      <c r="P26" s="183">
        <f t="shared" si="5"/>
        <v>990000</v>
      </c>
      <c r="Q26" s="183">
        <f t="shared" si="6"/>
        <v>1507000</v>
      </c>
      <c r="R26" s="184">
        <f t="shared" si="6"/>
        <v>0</v>
      </c>
    </row>
    <row r="27" spans="2:18" ht="15" customHeight="1">
      <c r="B27" s="118"/>
      <c r="C27" s="219">
        <v>17</v>
      </c>
      <c r="D27" s="127">
        <f t="shared" si="7"/>
        <v>45688</v>
      </c>
      <c r="E27" s="174">
        <f t="shared" si="2"/>
        <v>824000</v>
      </c>
      <c r="F27" s="168"/>
      <c r="G27" s="169">
        <v>137000</v>
      </c>
      <c r="H27" s="169">
        <v>550000</v>
      </c>
      <c r="I27" s="169"/>
      <c r="J27" s="169">
        <v>137000</v>
      </c>
      <c r="K27" s="170"/>
      <c r="L27" s="174">
        <f t="shared" si="8"/>
        <v>6503000</v>
      </c>
      <c r="M27" s="182">
        <f t="shared" si="9"/>
        <v>990000</v>
      </c>
      <c r="N27" s="183">
        <f t="shared" si="3"/>
        <v>2329000</v>
      </c>
      <c r="O27" s="183">
        <f t="shared" si="4"/>
        <v>550000</v>
      </c>
      <c r="P27" s="183">
        <f t="shared" si="5"/>
        <v>990000</v>
      </c>
      <c r="Q27" s="183">
        <f t="shared" si="6"/>
        <v>1644000</v>
      </c>
      <c r="R27" s="184">
        <f t="shared" si="6"/>
        <v>0</v>
      </c>
    </row>
    <row r="28" spans="2:18" ht="15" customHeight="1">
      <c r="B28" s="118"/>
      <c r="C28" s="219">
        <v>18</v>
      </c>
      <c r="D28" s="127">
        <f t="shared" si="7"/>
        <v>45716</v>
      </c>
      <c r="E28" s="174">
        <f t="shared" si="2"/>
        <v>137000</v>
      </c>
      <c r="F28" s="168"/>
      <c r="G28" s="169"/>
      <c r="H28" s="169"/>
      <c r="I28" s="169"/>
      <c r="J28" s="169">
        <v>137000</v>
      </c>
      <c r="K28" s="170"/>
      <c r="L28" s="174">
        <f t="shared" si="8"/>
        <v>6640000</v>
      </c>
      <c r="M28" s="182">
        <f t="shared" si="9"/>
        <v>990000</v>
      </c>
      <c r="N28" s="183">
        <f t="shared" si="3"/>
        <v>2329000</v>
      </c>
      <c r="O28" s="183">
        <f t="shared" si="4"/>
        <v>550000</v>
      </c>
      <c r="P28" s="183">
        <f t="shared" si="5"/>
        <v>990000</v>
      </c>
      <c r="Q28" s="183">
        <f t="shared" si="6"/>
        <v>1781000</v>
      </c>
      <c r="R28" s="184">
        <f t="shared" si="6"/>
        <v>0</v>
      </c>
    </row>
    <row r="29" spans="2:18" ht="15" customHeight="1">
      <c r="B29" s="118"/>
      <c r="C29" s="219">
        <v>19</v>
      </c>
      <c r="D29" s="127">
        <f t="shared" si="7"/>
        <v>45747</v>
      </c>
      <c r="E29" s="174">
        <f t="shared" si="2"/>
        <v>137000</v>
      </c>
      <c r="F29" s="168"/>
      <c r="G29" s="169"/>
      <c r="H29" s="169"/>
      <c r="I29" s="169"/>
      <c r="J29" s="169">
        <v>137000</v>
      </c>
      <c r="K29" s="170"/>
      <c r="L29" s="174">
        <f t="shared" si="8"/>
        <v>6777000</v>
      </c>
      <c r="M29" s="182">
        <f t="shared" si="9"/>
        <v>990000</v>
      </c>
      <c r="N29" s="183">
        <f t="shared" si="3"/>
        <v>2329000</v>
      </c>
      <c r="O29" s="183">
        <f t="shared" si="4"/>
        <v>550000</v>
      </c>
      <c r="P29" s="183">
        <f t="shared" si="5"/>
        <v>990000</v>
      </c>
      <c r="Q29" s="183">
        <f t="shared" si="6"/>
        <v>1918000</v>
      </c>
      <c r="R29" s="184">
        <f t="shared" si="6"/>
        <v>0</v>
      </c>
    </row>
    <row r="30" spans="2:18" ht="15" customHeight="1">
      <c r="B30" s="118"/>
      <c r="C30" s="219">
        <v>20</v>
      </c>
      <c r="D30" s="127">
        <f t="shared" si="7"/>
        <v>45777</v>
      </c>
      <c r="E30" s="174">
        <f t="shared" si="2"/>
        <v>137000</v>
      </c>
      <c r="F30" s="168"/>
      <c r="G30" s="169"/>
      <c r="H30" s="169"/>
      <c r="I30" s="169"/>
      <c r="J30" s="169">
        <v>137000</v>
      </c>
      <c r="K30" s="170"/>
      <c r="L30" s="174">
        <f t="shared" ref="L30" si="10">+L29+E30</f>
        <v>6914000</v>
      </c>
      <c r="M30" s="182">
        <f t="shared" ref="M30" si="11">+F30+M29</f>
        <v>990000</v>
      </c>
      <c r="N30" s="183">
        <f t="shared" ref="N30" si="12">+G30+N29</f>
        <v>2329000</v>
      </c>
      <c r="O30" s="183">
        <f t="shared" ref="O30" si="13">+H30+O29</f>
        <v>550000</v>
      </c>
      <c r="P30" s="183">
        <f t="shared" ref="P30" si="14">+I30+P29</f>
        <v>990000</v>
      </c>
      <c r="Q30" s="183">
        <f t="shared" ref="Q30:R30" si="15">+J30+Q29</f>
        <v>2055000</v>
      </c>
      <c r="R30" s="184">
        <f t="shared" si="15"/>
        <v>0</v>
      </c>
    </row>
    <row r="31" spans="2:18" ht="15" customHeight="1">
      <c r="B31" s="118"/>
      <c r="C31" s="219">
        <v>21</v>
      </c>
      <c r="D31" s="127">
        <f t="shared" si="7"/>
        <v>45808</v>
      </c>
      <c r="E31" s="174">
        <f t="shared" si="2"/>
        <v>137000</v>
      </c>
      <c r="F31" s="168"/>
      <c r="G31" s="169"/>
      <c r="H31" s="169"/>
      <c r="I31" s="169"/>
      <c r="J31" s="169">
        <v>137000</v>
      </c>
      <c r="K31" s="170"/>
      <c r="L31" s="174">
        <f t="shared" ref="L31:L46" si="16">+L30+E31</f>
        <v>7051000</v>
      </c>
      <c r="M31" s="182">
        <f t="shared" ref="M31:M46" si="17">+F31+M30</f>
        <v>990000</v>
      </c>
      <c r="N31" s="183">
        <f t="shared" ref="N31:N46" si="18">+G31+N30</f>
        <v>2329000</v>
      </c>
      <c r="O31" s="183">
        <f t="shared" ref="O31:O46" si="19">+H31+O30</f>
        <v>550000</v>
      </c>
      <c r="P31" s="183">
        <f t="shared" ref="P31:P46" si="20">+I31+P30</f>
        <v>990000</v>
      </c>
      <c r="Q31" s="183">
        <f t="shared" ref="Q31:R46" si="21">+J31+Q30</f>
        <v>2192000</v>
      </c>
      <c r="R31" s="184">
        <f t="shared" si="21"/>
        <v>0</v>
      </c>
    </row>
    <row r="32" spans="2:18" ht="15" customHeight="1">
      <c r="B32" s="118"/>
      <c r="C32" s="219">
        <v>22</v>
      </c>
      <c r="D32" s="127">
        <f t="shared" si="7"/>
        <v>45838</v>
      </c>
      <c r="E32" s="174">
        <f t="shared" si="2"/>
        <v>687000</v>
      </c>
      <c r="F32" s="168"/>
      <c r="G32" s="169"/>
      <c r="H32" s="169"/>
      <c r="I32" s="169"/>
      <c r="J32" s="169">
        <v>137000</v>
      </c>
      <c r="K32" s="170">
        <v>550000</v>
      </c>
      <c r="L32" s="174">
        <f t="shared" si="16"/>
        <v>7738000</v>
      </c>
      <c r="M32" s="182">
        <f t="shared" si="17"/>
        <v>990000</v>
      </c>
      <c r="N32" s="183">
        <f t="shared" si="18"/>
        <v>2329000</v>
      </c>
      <c r="O32" s="183">
        <f t="shared" si="19"/>
        <v>550000</v>
      </c>
      <c r="P32" s="183">
        <f t="shared" si="20"/>
        <v>990000</v>
      </c>
      <c r="Q32" s="183">
        <f t="shared" si="21"/>
        <v>2329000</v>
      </c>
      <c r="R32" s="184">
        <f t="shared" si="21"/>
        <v>550000</v>
      </c>
    </row>
    <row r="33" spans="2:18" ht="15" customHeight="1">
      <c r="B33" s="118"/>
      <c r="C33" s="219">
        <v>23</v>
      </c>
      <c r="D33" s="127">
        <f t="shared" si="7"/>
        <v>45869</v>
      </c>
      <c r="E33" s="174">
        <f t="shared" si="2"/>
        <v>0</v>
      </c>
      <c r="F33" s="168"/>
      <c r="G33" s="169"/>
      <c r="H33" s="169"/>
      <c r="I33" s="169"/>
      <c r="J33" s="169"/>
      <c r="K33" s="170"/>
      <c r="L33" s="174">
        <f t="shared" si="16"/>
        <v>7738000</v>
      </c>
      <c r="M33" s="182">
        <f t="shared" si="17"/>
        <v>990000</v>
      </c>
      <c r="N33" s="183">
        <f t="shared" si="18"/>
        <v>2329000</v>
      </c>
      <c r="O33" s="183">
        <f t="shared" si="19"/>
        <v>550000</v>
      </c>
      <c r="P33" s="183">
        <f t="shared" si="20"/>
        <v>990000</v>
      </c>
      <c r="Q33" s="183">
        <f t="shared" si="21"/>
        <v>2329000</v>
      </c>
      <c r="R33" s="184">
        <f t="shared" si="21"/>
        <v>550000</v>
      </c>
    </row>
    <row r="34" spans="2:18" ht="15" customHeight="1">
      <c r="B34" s="118"/>
      <c r="C34" s="219">
        <v>24</v>
      </c>
      <c r="D34" s="127">
        <f t="shared" si="7"/>
        <v>45900</v>
      </c>
      <c r="E34" s="174">
        <f t="shared" si="2"/>
        <v>0</v>
      </c>
      <c r="F34" s="168"/>
      <c r="G34" s="169"/>
      <c r="H34" s="169"/>
      <c r="I34" s="169"/>
      <c r="J34" s="169"/>
      <c r="K34" s="192"/>
      <c r="L34" s="174">
        <f t="shared" si="16"/>
        <v>7738000</v>
      </c>
      <c r="M34" s="182">
        <f t="shared" si="17"/>
        <v>990000</v>
      </c>
      <c r="N34" s="183">
        <f t="shared" si="18"/>
        <v>2329000</v>
      </c>
      <c r="O34" s="183">
        <f t="shared" si="19"/>
        <v>550000</v>
      </c>
      <c r="P34" s="183">
        <f t="shared" si="20"/>
        <v>990000</v>
      </c>
      <c r="Q34" s="183">
        <f t="shared" si="21"/>
        <v>2329000</v>
      </c>
      <c r="R34" s="184">
        <f t="shared" si="21"/>
        <v>550000</v>
      </c>
    </row>
    <row r="35" spans="2:18" ht="15" customHeight="1">
      <c r="B35" s="118"/>
      <c r="C35" s="219">
        <v>25</v>
      </c>
      <c r="D35" s="127">
        <f t="shared" si="7"/>
        <v>45930</v>
      </c>
      <c r="E35" s="174">
        <f t="shared" si="2"/>
        <v>0</v>
      </c>
      <c r="F35" s="168"/>
      <c r="G35" s="169"/>
      <c r="H35" s="169"/>
      <c r="I35" s="169"/>
      <c r="J35" s="169"/>
      <c r="K35" s="192"/>
      <c r="L35" s="174">
        <f t="shared" si="16"/>
        <v>7738000</v>
      </c>
      <c r="M35" s="182">
        <f t="shared" si="17"/>
        <v>990000</v>
      </c>
      <c r="N35" s="183">
        <f t="shared" si="18"/>
        <v>2329000</v>
      </c>
      <c r="O35" s="183">
        <f t="shared" si="19"/>
        <v>550000</v>
      </c>
      <c r="P35" s="183">
        <f t="shared" si="20"/>
        <v>990000</v>
      </c>
      <c r="Q35" s="183">
        <f t="shared" si="21"/>
        <v>2329000</v>
      </c>
      <c r="R35" s="184">
        <f t="shared" si="21"/>
        <v>550000</v>
      </c>
    </row>
    <row r="36" spans="2:18" ht="15" customHeight="1">
      <c r="B36" s="118"/>
      <c r="C36" s="219">
        <v>26</v>
      </c>
      <c r="D36" s="127">
        <f t="shared" si="7"/>
        <v>45961</v>
      </c>
      <c r="E36" s="174">
        <f t="shared" si="2"/>
        <v>0</v>
      </c>
      <c r="F36" s="168"/>
      <c r="G36" s="169"/>
      <c r="H36" s="169"/>
      <c r="I36" s="169"/>
      <c r="J36" s="169"/>
      <c r="K36" s="192"/>
      <c r="L36" s="174">
        <f t="shared" si="16"/>
        <v>7738000</v>
      </c>
      <c r="M36" s="182">
        <f t="shared" si="17"/>
        <v>990000</v>
      </c>
      <c r="N36" s="183">
        <f t="shared" si="18"/>
        <v>2329000</v>
      </c>
      <c r="O36" s="183">
        <f t="shared" si="19"/>
        <v>550000</v>
      </c>
      <c r="P36" s="183">
        <f t="shared" si="20"/>
        <v>990000</v>
      </c>
      <c r="Q36" s="183">
        <f t="shared" si="21"/>
        <v>2329000</v>
      </c>
      <c r="R36" s="184">
        <f t="shared" si="21"/>
        <v>550000</v>
      </c>
    </row>
    <row r="37" spans="2:18" ht="15" customHeight="1">
      <c r="B37" s="118"/>
      <c r="C37" s="219">
        <v>27</v>
      </c>
      <c r="D37" s="127">
        <f t="shared" si="7"/>
        <v>45991</v>
      </c>
      <c r="E37" s="174">
        <f t="shared" si="2"/>
        <v>0</v>
      </c>
      <c r="F37" s="168"/>
      <c r="G37" s="169"/>
      <c r="H37" s="169"/>
      <c r="I37" s="169"/>
      <c r="J37" s="169"/>
      <c r="K37" s="192"/>
      <c r="L37" s="174">
        <f t="shared" si="16"/>
        <v>7738000</v>
      </c>
      <c r="M37" s="182">
        <f t="shared" si="17"/>
        <v>990000</v>
      </c>
      <c r="N37" s="183">
        <f t="shared" si="18"/>
        <v>2329000</v>
      </c>
      <c r="O37" s="183">
        <f t="shared" si="19"/>
        <v>550000</v>
      </c>
      <c r="P37" s="183">
        <f t="shared" si="20"/>
        <v>990000</v>
      </c>
      <c r="Q37" s="183">
        <f t="shared" si="21"/>
        <v>2329000</v>
      </c>
      <c r="R37" s="184">
        <f t="shared" si="21"/>
        <v>550000</v>
      </c>
    </row>
    <row r="38" spans="2:18" ht="15" customHeight="1">
      <c r="B38" s="118"/>
      <c r="C38" s="219">
        <v>28</v>
      </c>
      <c r="D38" s="127">
        <f t="shared" si="7"/>
        <v>46022</v>
      </c>
      <c r="E38" s="174">
        <f t="shared" si="2"/>
        <v>0</v>
      </c>
      <c r="F38" s="168"/>
      <c r="G38" s="169"/>
      <c r="H38" s="169"/>
      <c r="I38" s="169"/>
      <c r="J38" s="169"/>
      <c r="K38" s="192"/>
      <c r="L38" s="174">
        <f t="shared" si="16"/>
        <v>7738000</v>
      </c>
      <c r="M38" s="182">
        <f t="shared" si="17"/>
        <v>990000</v>
      </c>
      <c r="N38" s="183">
        <f t="shared" si="18"/>
        <v>2329000</v>
      </c>
      <c r="O38" s="183">
        <f t="shared" si="19"/>
        <v>550000</v>
      </c>
      <c r="P38" s="183">
        <f t="shared" si="20"/>
        <v>990000</v>
      </c>
      <c r="Q38" s="183">
        <f t="shared" si="21"/>
        <v>2329000</v>
      </c>
      <c r="R38" s="184">
        <f t="shared" si="21"/>
        <v>550000</v>
      </c>
    </row>
    <row r="39" spans="2:18" ht="15" customHeight="1">
      <c r="B39" s="118"/>
      <c r="C39" s="219">
        <v>29</v>
      </c>
      <c r="D39" s="127">
        <f t="shared" si="7"/>
        <v>46053</v>
      </c>
      <c r="E39" s="174">
        <f t="shared" si="2"/>
        <v>0</v>
      </c>
      <c r="F39" s="168"/>
      <c r="G39" s="169"/>
      <c r="H39" s="169"/>
      <c r="I39" s="169"/>
      <c r="J39" s="169"/>
      <c r="K39" s="192"/>
      <c r="L39" s="174">
        <f t="shared" si="16"/>
        <v>7738000</v>
      </c>
      <c r="M39" s="182">
        <f t="shared" si="17"/>
        <v>990000</v>
      </c>
      <c r="N39" s="183">
        <f t="shared" si="18"/>
        <v>2329000</v>
      </c>
      <c r="O39" s="183">
        <f t="shared" si="19"/>
        <v>550000</v>
      </c>
      <c r="P39" s="183">
        <f t="shared" si="20"/>
        <v>990000</v>
      </c>
      <c r="Q39" s="183">
        <f t="shared" si="21"/>
        <v>2329000</v>
      </c>
      <c r="R39" s="184">
        <f t="shared" si="21"/>
        <v>550000</v>
      </c>
    </row>
    <row r="40" spans="2:18" ht="15" customHeight="1">
      <c r="B40" s="118"/>
      <c r="C40" s="219">
        <v>30</v>
      </c>
      <c r="D40" s="127">
        <f t="shared" si="7"/>
        <v>46081</v>
      </c>
      <c r="E40" s="174">
        <f t="shared" si="2"/>
        <v>0</v>
      </c>
      <c r="F40" s="168"/>
      <c r="G40" s="169"/>
      <c r="H40" s="169"/>
      <c r="I40" s="169"/>
      <c r="J40" s="169"/>
      <c r="K40" s="192"/>
      <c r="L40" s="174">
        <f t="shared" si="16"/>
        <v>7738000</v>
      </c>
      <c r="M40" s="182">
        <f t="shared" si="17"/>
        <v>990000</v>
      </c>
      <c r="N40" s="183">
        <f t="shared" si="18"/>
        <v>2329000</v>
      </c>
      <c r="O40" s="183">
        <f t="shared" si="19"/>
        <v>550000</v>
      </c>
      <c r="P40" s="183">
        <f t="shared" si="20"/>
        <v>990000</v>
      </c>
      <c r="Q40" s="183">
        <f t="shared" si="21"/>
        <v>2329000</v>
      </c>
      <c r="R40" s="184">
        <f t="shared" si="21"/>
        <v>550000</v>
      </c>
    </row>
    <row r="41" spans="2:18" ht="15" customHeight="1">
      <c r="B41" s="118"/>
      <c r="C41" s="219">
        <v>31</v>
      </c>
      <c r="D41" s="127">
        <f t="shared" si="7"/>
        <v>46112</v>
      </c>
      <c r="E41" s="174">
        <f t="shared" si="2"/>
        <v>0</v>
      </c>
      <c r="F41" s="168"/>
      <c r="G41" s="169"/>
      <c r="H41" s="169"/>
      <c r="I41" s="169"/>
      <c r="J41" s="169"/>
      <c r="K41" s="192"/>
      <c r="L41" s="174">
        <f t="shared" si="16"/>
        <v>7738000</v>
      </c>
      <c r="M41" s="182">
        <f t="shared" si="17"/>
        <v>990000</v>
      </c>
      <c r="N41" s="183">
        <f t="shared" si="18"/>
        <v>2329000</v>
      </c>
      <c r="O41" s="183">
        <f t="shared" si="19"/>
        <v>550000</v>
      </c>
      <c r="P41" s="183">
        <f t="shared" si="20"/>
        <v>990000</v>
      </c>
      <c r="Q41" s="183">
        <f t="shared" si="21"/>
        <v>2329000</v>
      </c>
      <c r="R41" s="184">
        <f t="shared" si="21"/>
        <v>550000</v>
      </c>
    </row>
    <row r="42" spans="2:18" ht="15" customHeight="1">
      <c r="B42" s="118"/>
      <c r="C42" s="219">
        <v>32</v>
      </c>
      <c r="D42" s="127">
        <f t="shared" si="7"/>
        <v>46142</v>
      </c>
      <c r="E42" s="174">
        <f t="shared" si="2"/>
        <v>0</v>
      </c>
      <c r="F42" s="168"/>
      <c r="G42" s="169"/>
      <c r="H42" s="169"/>
      <c r="I42" s="169"/>
      <c r="J42" s="169"/>
      <c r="K42" s="192"/>
      <c r="L42" s="174">
        <f t="shared" si="16"/>
        <v>7738000</v>
      </c>
      <c r="M42" s="182">
        <f t="shared" si="17"/>
        <v>990000</v>
      </c>
      <c r="N42" s="183">
        <f t="shared" si="18"/>
        <v>2329000</v>
      </c>
      <c r="O42" s="183">
        <f t="shared" si="19"/>
        <v>550000</v>
      </c>
      <c r="P42" s="183">
        <f t="shared" si="20"/>
        <v>990000</v>
      </c>
      <c r="Q42" s="183">
        <f t="shared" si="21"/>
        <v>2329000</v>
      </c>
      <c r="R42" s="184">
        <f t="shared" si="21"/>
        <v>550000</v>
      </c>
    </row>
    <row r="43" spans="2:18" ht="15" customHeight="1">
      <c r="B43" s="118"/>
      <c r="C43" s="219">
        <v>33</v>
      </c>
      <c r="D43" s="127">
        <f t="shared" si="7"/>
        <v>46173</v>
      </c>
      <c r="E43" s="174">
        <f t="shared" si="2"/>
        <v>0</v>
      </c>
      <c r="F43" s="168"/>
      <c r="G43" s="169"/>
      <c r="H43" s="169"/>
      <c r="I43" s="169"/>
      <c r="J43" s="169"/>
      <c r="K43" s="192"/>
      <c r="L43" s="174">
        <f t="shared" si="16"/>
        <v>7738000</v>
      </c>
      <c r="M43" s="182">
        <f t="shared" si="17"/>
        <v>990000</v>
      </c>
      <c r="N43" s="183">
        <f t="shared" si="18"/>
        <v>2329000</v>
      </c>
      <c r="O43" s="183">
        <f t="shared" si="19"/>
        <v>550000</v>
      </c>
      <c r="P43" s="183">
        <f t="shared" si="20"/>
        <v>990000</v>
      </c>
      <c r="Q43" s="183">
        <f t="shared" si="21"/>
        <v>2329000</v>
      </c>
      <c r="R43" s="184">
        <f t="shared" si="21"/>
        <v>550000</v>
      </c>
    </row>
    <row r="44" spans="2:18" ht="15" customHeight="1">
      <c r="B44" s="118"/>
      <c r="C44" s="219">
        <v>34</v>
      </c>
      <c r="D44" s="127">
        <f t="shared" si="7"/>
        <v>46203</v>
      </c>
      <c r="E44" s="174">
        <f t="shared" si="2"/>
        <v>0</v>
      </c>
      <c r="F44" s="168"/>
      <c r="G44" s="169"/>
      <c r="H44" s="169"/>
      <c r="I44" s="169"/>
      <c r="J44" s="169"/>
      <c r="K44" s="192"/>
      <c r="L44" s="174">
        <f t="shared" si="16"/>
        <v>7738000</v>
      </c>
      <c r="M44" s="182">
        <f t="shared" si="17"/>
        <v>990000</v>
      </c>
      <c r="N44" s="183">
        <f t="shared" si="18"/>
        <v>2329000</v>
      </c>
      <c r="O44" s="183">
        <f t="shared" si="19"/>
        <v>550000</v>
      </c>
      <c r="P44" s="183">
        <f t="shared" si="20"/>
        <v>990000</v>
      </c>
      <c r="Q44" s="183">
        <f t="shared" si="21"/>
        <v>2329000</v>
      </c>
      <c r="R44" s="184">
        <f t="shared" si="21"/>
        <v>550000</v>
      </c>
    </row>
    <row r="45" spans="2:18" ht="15" customHeight="1">
      <c r="B45" s="118"/>
      <c r="C45" s="219">
        <v>35</v>
      </c>
      <c r="D45" s="127">
        <f t="shared" si="7"/>
        <v>46234</v>
      </c>
      <c r="E45" s="174">
        <f t="shared" si="2"/>
        <v>0</v>
      </c>
      <c r="F45" s="168"/>
      <c r="G45" s="169"/>
      <c r="H45" s="169"/>
      <c r="I45" s="169"/>
      <c r="J45" s="169"/>
      <c r="K45" s="192"/>
      <c r="L45" s="174">
        <f t="shared" si="16"/>
        <v>7738000</v>
      </c>
      <c r="M45" s="182">
        <f t="shared" si="17"/>
        <v>990000</v>
      </c>
      <c r="N45" s="183">
        <f t="shared" si="18"/>
        <v>2329000</v>
      </c>
      <c r="O45" s="183">
        <f t="shared" si="19"/>
        <v>550000</v>
      </c>
      <c r="P45" s="183">
        <f t="shared" si="20"/>
        <v>990000</v>
      </c>
      <c r="Q45" s="183">
        <f t="shared" si="21"/>
        <v>2329000</v>
      </c>
      <c r="R45" s="184">
        <f t="shared" si="21"/>
        <v>550000</v>
      </c>
    </row>
    <row r="46" spans="2:18" ht="15" customHeight="1">
      <c r="B46" s="118"/>
      <c r="C46" s="219">
        <v>36</v>
      </c>
      <c r="D46" s="127">
        <f t="shared" si="7"/>
        <v>46265</v>
      </c>
      <c r="E46" s="174">
        <f t="shared" si="2"/>
        <v>0</v>
      </c>
      <c r="F46" s="168"/>
      <c r="G46" s="169"/>
      <c r="H46" s="169"/>
      <c r="I46" s="169"/>
      <c r="J46" s="169"/>
      <c r="K46" s="192"/>
      <c r="L46" s="174">
        <f t="shared" si="16"/>
        <v>7738000</v>
      </c>
      <c r="M46" s="182">
        <f t="shared" si="17"/>
        <v>990000</v>
      </c>
      <c r="N46" s="183">
        <f t="shared" si="18"/>
        <v>2329000</v>
      </c>
      <c r="O46" s="183">
        <f t="shared" si="19"/>
        <v>550000</v>
      </c>
      <c r="P46" s="183">
        <f t="shared" si="20"/>
        <v>990000</v>
      </c>
      <c r="Q46" s="183">
        <f t="shared" si="21"/>
        <v>2329000</v>
      </c>
      <c r="R46" s="184">
        <f t="shared" si="21"/>
        <v>550000</v>
      </c>
    </row>
    <row r="47" spans="2:18" ht="15" customHeight="1">
      <c r="B47" s="118"/>
      <c r="C47" s="219">
        <v>37</v>
      </c>
      <c r="D47" s="127">
        <f t="shared" si="7"/>
        <v>46295</v>
      </c>
      <c r="E47" s="174">
        <f t="shared" si="2"/>
        <v>0</v>
      </c>
      <c r="F47" s="168"/>
      <c r="G47" s="169"/>
      <c r="H47" s="169"/>
      <c r="I47" s="169"/>
      <c r="J47" s="169"/>
      <c r="K47" s="192"/>
      <c r="L47" s="174">
        <f t="shared" ref="L47:L62" si="22">+L46+E47</f>
        <v>7738000</v>
      </c>
      <c r="M47" s="182">
        <f t="shared" ref="M47:M62" si="23">+F47+M46</f>
        <v>990000</v>
      </c>
      <c r="N47" s="183">
        <f t="shared" ref="N47:N62" si="24">+G47+N46</f>
        <v>2329000</v>
      </c>
      <c r="O47" s="183">
        <f t="shared" ref="O47:O62" si="25">+H47+O46</f>
        <v>550000</v>
      </c>
      <c r="P47" s="183">
        <f t="shared" ref="P47:P62" si="26">+I47+P46</f>
        <v>990000</v>
      </c>
      <c r="Q47" s="183">
        <f t="shared" ref="Q47:R62" si="27">+J47+Q46</f>
        <v>2329000</v>
      </c>
      <c r="R47" s="184">
        <f t="shared" si="27"/>
        <v>550000</v>
      </c>
    </row>
    <row r="48" spans="2:18" ht="15" customHeight="1">
      <c r="B48" s="118"/>
      <c r="C48" s="219">
        <v>38</v>
      </c>
      <c r="D48" s="127">
        <f t="shared" si="7"/>
        <v>46326</v>
      </c>
      <c r="E48" s="174">
        <f t="shared" si="2"/>
        <v>0</v>
      </c>
      <c r="F48" s="168"/>
      <c r="G48" s="169"/>
      <c r="H48" s="169"/>
      <c r="I48" s="169"/>
      <c r="J48" s="169"/>
      <c r="K48" s="192"/>
      <c r="L48" s="174">
        <f t="shared" si="22"/>
        <v>7738000</v>
      </c>
      <c r="M48" s="182">
        <f t="shared" si="23"/>
        <v>990000</v>
      </c>
      <c r="N48" s="183">
        <f t="shared" si="24"/>
        <v>2329000</v>
      </c>
      <c r="O48" s="183">
        <f t="shared" si="25"/>
        <v>550000</v>
      </c>
      <c r="P48" s="183">
        <f t="shared" si="26"/>
        <v>990000</v>
      </c>
      <c r="Q48" s="183">
        <f t="shared" si="27"/>
        <v>2329000</v>
      </c>
      <c r="R48" s="184">
        <f t="shared" si="27"/>
        <v>550000</v>
      </c>
    </row>
    <row r="49" spans="1:18" ht="15" customHeight="1">
      <c r="B49" s="118"/>
      <c r="C49" s="219">
        <v>39</v>
      </c>
      <c r="D49" s="127">
        <f t="shared" si="7"/>
        <v>46356</v>
      </c>
      <c r="E49" s="174">
        <f t="shared" si="2"/>
        <v>0</v>
      </c>
      <c r="F49" s="168"/>
      <c r="G49" s="169"/>
      <c r="H49" s="169"/>
      <c r="I49" s="169"/>
      <c r="J49" s="169"/>
      <c r="K49" s="192"/>
      <c r="L49" s="174">
        <f t="shared" si="22"/>
        <v>7738000</v>
      </c>
      <c r="M49" s="182">
        <f t="shared" si="23"/>
        <v>990000</v>
      </c>
      <c r="N49" s="183">
        <f t="shared" si="24"/>
        <v>2329000</v>
      </c>
      <c r="O49" s="183">
        <f t="shared" si="25"/>
        <v>550000</v>
      </c>
      <c r="P49" s="183">
        <f t="shared" si="26"/>
        <v>990000</v>
      </c>
      <c r="Q49" s="183">
        <f t="shared" si="27"/>
        <v>2329000</v>
      </c>
      <c r="R49" s="184">
        <f t="shared" si="27"/>
        <v>550000</v>
      </c>
    </row>
    <row r="50" spans="1:18" ht="15" customHeight="1">
      <c r="B50" s="118"/>
      <c r="C50" s="219">
        <v>40</v>
      </c>
      <c r="D50" s="127">
        <f t="shared" si="7"/>
        <v>46387</v>
      </c>
      <c r="E50" s="174">
        <f t="shared" si="2"/>
        <v>0</v>
      </c>
      <c r="F50" s="168"/>
      <c r="G50" s="169"/>
      <c r="H50" s="169"/>
      <c r="I50" s="169"/>
      <c r="J50" s="169"/>
      <c r="K50" s="192"/>
      <c r="L50" s="174">
        <f t="shared" si="22"/>
        <v>7738000</v>
      </c>
      <c r="M50" s="182">
        <f t="shared" si="23"/>
        <v>990000</v>
      </c>
      <c r="N50" s="183">
        <f t="shared" si="24"/>
        <v>2329000</v>
      </c>
      <c r="O50" s="183">
        <f t="shared" si="25"/>
        <v>550000</v>
      </c>
      <c r="P50" s="183">
        <f t="shared" si="26"/>
        <v>990000</v>
      </c>
      <c r="Q50" s="183">
        <f t="shared" si="27"/>
        <v>2329000</v>
      </c>
      <c r="R50" s="184">
        <f t="shared" si="27"/>
        <v>550000</v>
      </c>
    </row>
    <row r="51" spans="1:18" ht="15" customHeight="1">
      <c r="B51" s="118"/>
      <c r="C51" s="219">
        <v>41</v>
      </c>
      <c r="D51" s="127">
        <f t="shared" si="7"/>
        <v>46418</v>
      </c>
      <c r="E51" s="174">
        <f t="shared" si="2"/>
        <v>0</v>
      </c>
      <c r="F51" s="168"/>
      <c r="G51" s="169"/>
      <c r="H51" s="169"/>
      <c r="I51" s="169"/>
      <c r="J51" s="169"/>
      <c r="K51" s="192"/>
      <c r="L51" s="174">
        <f t="shared" si="22"/>
        <v>7738000</v>
      </c>
      <c r="M51" s="182">
        <f t="shared" si="23"/>
        <v>990000</v>
      </c>
      <c r="N51" s="183">
        <f t="shared" si="24"/>
        <v>2329000</v>
      </c>
      <c r="O51" s="183">
        <f t="shared" si="25"/>
        <v>550000</v>
      </c>
      <c r="P51" s="183">
        <f t="shared" si="26"/>
        <v>990000</v>
      </c>
      <c r="Q51" s="183">
        <f t="shared" si="27"/>
        <v>2329000</v>
      </c>
      <c r="R51" s="184">
        <f t="shared" si="27"/>
        <v>550000</v>
      </c>
    </row>
    <row r="52" spans="1:18" ht="15" customHeight="1">
      <c r="B52" s="118"/>
      <c r="C52" s="219">
        <v>42</v>
      </c>
      <c r="D52" s="127">
        <f t="shared" si="7"/>
        <v>46446</v>
      </c>
      <c r="E52" s="174">
        <f t="shared" si="2"/>
        <v>0</v>
      </c>
      <c r="F52" s="168"/>
      <c r="G52" s="169"/>
      <c r="H52" s="169"/>
      <c r="I52" s="169"/>
      <c r="J52" s="169"/>
      <c r="K52" s="192"/>
      <c r="L52" s="174">
        <f t="shared" si="22"/>
        <v>7738000</v>
      </c>
      <c r="M52" s="182">
        <f t="shared" si="23"/>
        <v>990000</v>
      </c>
      <c r="N52" s="183">
        <f t="shared" si="24"/>
        <v>2329000</v>
      </c>
      <c r="O52" s="183">
        <f t="shared" si="25"/>
        <v>550000</v>
      </c>
      <c r="P52" s="183">
        <f t="shared" si="26"/>
        <v>990000</v>
      </c>
      <c r="Q52" s="183">
        <f t="shared" si="27"/>
        <v>2329000</v>
      </c>
      <c r="R52" s="184">
        <f t="shared" si="27"/>
        <v>550000</v>
      </c>
    </row>
    <row r="53" spans="1:18" ht="15" customHeight="1">
      <c r="B53" s="118"/>
      <c r="C53" s="219">
        <v>43</v>
      </c>
      <c r="D53" s="127">
        <f t="shared" si="7"/>
        <v>46477</v>
      </c>
      <c r="E53" s="174">
        <f t="shared" si="2"/>
        <v>0</v>
      </c>
      <c r="F53" s="168"/>
      <c r="G53" s="169"/>
      <c r="H53" s="169"/>
      <c r="I53" s="169"/>
      <c r="J53" s="169"/>
      <c r="K53" s="192"/>
      <c r="L53" s="174">
        <f t="shared" si="22"/>
        <v>7738000</v>
      </c>
      <c r="M53" s="182">
        <f t="shared" si="23"/>
        <v>990000</v>
      </c>
      <c r="N53" s="183">
        <f t="shared" si="24"/>
        <v>2329000</v>
      </c>
      <c r="O53" s="183">
        <f t="shared" si="25"/>
        <v>550000</v>
      </c>
      <c r="P53" s="183">
        <f t="shared" si="26"/>
        <v>990000</v>
      </c>
      <c r="Q53" s="183">
        <f t="shared" si="27"/>
        <v>2329000</v>
      </c>
      <c r="R53" s="184">
        <f t="shared" si="27"/>
        <v>550000</v>
      </c>
    </row>
    <row r="54" spans="1:18" ht="15" customHeight="1">
      <c r="B54" s="118"/>
      <c r="C54" s="219">
        <v>44</v>
      </c>
      <c r="D54" s="127">
        <f t="shared" si="7"/>
        <v>46507</v>
      </c>
      <c r="E54" s="174">
        <f t="shared" si="2"/>
        <v>0</v>
      </c>
      <c r="F54" s="168"/>
      <c r="G54" s="169"/>
      <c r="H54" s="169"/>
      <c r="I54" s="169"/>
      <c r="J54" s="169"/>
      <c r="K54" s="192"/>
      <c r="L54" s="174">
        <f t="shared" si="22"/>
        <v>7738000</v>
      </c>
      <c r="M54" s="182">
        <f t="shared" si="23"/>
        <v>990000</v>
      </c>
      <c r="N54" s="183">
        <f t="shared" si="24"/>
        <v>2329000</v>
      </c>
      <c r="O54" s="183">
        <f t="shared" si="25"/>
        <v>550000</v>
      </c>
      <c r="P54" s="183">
        <f t="shared" si="26"/>
        <v>990000</v>
      </c>
      <c r="Q54" s="183">
        <f t="shared" si="27"/>
        <v>2329000</v>
      </c>
      <c r="R54" s="184">
        <f t="shared" si="27"/>
        <v>550000</v>
      </c>
    </row>
    <row r="55" spans="1:18" ht="15" customHeight="1">
      <c r="B55" s="118"/>
      <c r="C55" s="219">
        <v>45</v>
      </c>
      <c r="D55" s="127">
        <f t="shared" si="7"/>
        <v>46538</v>
      </c>
      <c r="E55" s="174">
        <f t="shared" si="2"/>
        <v>0</v>
      </c>
      <c r="F55" s="168"/>
      <c r="G55" s="169"/>
      <c r="H55" s="169"/>
      <c r="I55" s="169"/>
      <c r="J55" s="169"/>
      <c r="K55" s="192"/>
      <c r="L55" s="174">
        <f t="shared" si="22"/>
        <v>7738000</v>
      </c>
      <c r="M55" s="182">
        <f t="shared" si="23"/>
        <v>990000</v>
      </c>
      <c r="N55" s="183">
        <f t="shared" si="24"/>
        <v>2329000</v>
      </c>
      <c r="O55" s="183">
        <f t="shared" si="25"/>
        <v>550000</v>
      </c>
      <c r="P55" s="183">
        <f t="shared" si="26"/>
        <v>990000</v>
      </c>
      <c r="Q55" s="183">
        <f t="shared" si="27"/>
        <v>2329000</v>
      </c>
      <c r="R55" s="184">
        <f t="shared" si="27"/>
        <v>550000</v>
      </c>
    </row>
    <row r="56" spans="1:18" ht="15" customHeight="1">
      <c r="B56" s="118"/>
      <c r="C56" s="219">
        <v>46</v>
      </c>
      <c r="D56" s="127">
        <f t="shared" si="7"/>
        <v>46568</v>
      </c>
      <c r="E56" s="174">
        <f t="shared" si="2"/>
        <v>0</v>
      </c>
      <c r="F56" s="168"/>
      <c r="G56" s="169"/>
      <c r="H56" s="169"/>
      <c r="I56" s="169"/>
      <c r="J56" s="169"/>
      <c r="K56" s="192"/>
      <c r="L56" s="174">
        <f t="shared" si="22"/>
        <v>7738000</v>
      </c>
      <c r="M56" s="182">
        <f t="shared" si="23"/>
        <v>990000</v>
      </c>
      <c r="N56" s="183">
        <f t="shared" si="24"/>
        <v>2329000</v>
      </c>
      <c r="O56" s="183">
        <f t="shared" si="25"/>
        <v>550000</v>
      </c>
      <c r="P56" s="183">
        <f t="shared" si="26"/>
        <v>990000</v>
      </c>
      <c r="Q56" s="183">
        <f t="shared" si="27"/>
        <v>2329000</v>
      </c>
      <c r="R56" s="184">
        <f t="shared" si="27"/>
        <v>550000</v>
      </c>
    </row>
    <row r="57" spans="1:18" ht="15" customHeight="1">
      <c r="B57" s="118"/>
      <c r="C57" s="219">
        <v>47</v>
      </c>
      <c r="D57" s="127">
        <f t="shared" si="7"/>
        <v>46599</v>
      </c>
      <c r="E57" s="174">
        <f t="shared" si="2"/>
        <v>0</v>
      </c>
      <c r="F57" s="168"/>
      <c r="G57" s="169"/>
      <c r="H57" s="169"/>
      <c r="I57" s="169"/>
      <c r="J57" s="169"/>
      <c r="K57" s="192"/>
      <c r="L57" s="174">
        <f t="shared" si="22"/>
        <v>7738000</v>
      </c>
      <c r="M57" s="182">
        <f t="shared" si="23"/>
        <v>990000</v>
      </c>
      <c r="N57" s="183">
        <f t="shared" si="24"/>
        <v>2329000</v>
      </c>
      <c r="O57" s="183">
        <f t="shared" si="25"/>
        <v>550000</v>
      </c>
      <c r="P57" s="183">
        <f t="shared" si="26"/>
        <v>990000</v>
      </c>
      <c r="Q57" s="183">
        <f t="shared" si="27"/>
        <v>2329000</v>
      </c>
      <c r="R57" s="184">
        <f t="shared" si="27"/>
        <v>550000</v>
      </c>
    </row>
    <row r="58" spans="1:18" ht="15" customHeight="1">
      <c r="B58" s="118"/>
      <c r="C58" s="219">
        <v>48</v>
      </c>
      <c r="D58" s="127">
        <f t="shared" si="7"/>
        <v>46630</v>
      </c>
      <c r="E58" s="174">
        <f t="shared" si="2"/>
        <v>0</v>
      </c>
      <c r="F58" s="168"/>
      <c r="G58" s="169"/>
      <c r="H58" s="169"/>
      <c r="I58" s="169"/>
      <c r="J58" s="169"/>
      <c r="K58" s="192"/>
      <c r="L58" s="174">
        <f t="shared" si="22"/>
        <v>7738000</v>
      </c>
      <c r="M58" s="182">
        <f t="shared" si="23"/>
        <v>990000</v>
      </c>
      <c r="N58" s="183">
        <f t="shared" si="24"/>
        <v>2329000</v>
      </c>
      <c r="O58" s="183">
        <f t="shared" si="25"/>
        <v>550000</v>
      </c>
      <c r="P58" s="183">
        <f t="shared" si="26"/>
        <v>990000</v>
      </c>
      <c r="Q58" s="183">
        <f t="shared" si="27"/>
        <v>2329000</v>
      </c>
      <c r="R58" s="184">
        <f t="shared" si="27"/>
        <v>550000</v>
      </c>
    </row>
    <row r="59" spans="1:18" ht="15" customHeight="1">
      <c r="B59" s="118"/>
      <c r="C59" s="219">
        <v>49</v>
      </c>
      <c r="D59" s="127">
        <f t="shared" si="7"/>
        <v>46660</v>
      </c>
      <c r="E59" s="174">
        <f t="shared" si="2"/>
        <v>0</v>
      </c>
      <c r="F59" s="168"/>
      <c r="G59" s="169"/>
      <c r="H59" s="169"/>
      <c r="I59" s="169"/>
      <c r="J59" s="169"/>
      <c r="K59" s="192"/>
      <c r="L59" s="174">
        <f t="shared" si="22"/>
        <v>7738000</v>
      </c>
      <c r="M59" s="182">
        <f t="shared" si="23"/>
        <v>990000</v>
      </c>
      <c r="N59" s="183">
        <f t="shared" si="24"/>
        <v>2329000</v>
      </c>
      <c r="O59" s="183">
        <f t="shared" si="25"/>
        <v>550000</v>
      </c>
      <c r="P59" s="183">
        <f t="shared" si="26"/>
        <v>990000</v>
      </c>
      <c r="Q59" s="183">
        <f t="shared" si="27"/>
        <v>2329000</v>
      </c>
      <c r="R59" s="184">
        <f t="shared" si="27"/>
        <v>550000</v>
      </c>
    </row>
    <row r="60" spans="1:18" ht="15" customHeight="1">
      <c r="B60" s="118"/>
      <c r="C60" s="219">
        <v>50</v>
      </c>
      <c r="D60" s="127">
        <f t="shared" si="7"/>
        <v>46691</v>
      </c>
      <c r="E60" s="174">
        <f t="shared" si="2"/>
        <v>0</v>
      </c>
      <c r="F60" s="168"/>
      <c r="G60" s="169"/>
      <c r="H60" s="169"/>
      <c r="I60" s="169"/>
      <c r="J60" s="169"/>
      <c r="K60" s="192"/>
      <c r="L60" s="174">
        <f t="shared" si="22"/>
        <v>7738000</v>
      </c>
      <c r="M60" s="182">
        <f t="shared" si="23"/>
        <v>990000</v>
      </c>
      <c r="N60" s="183">
        <f t="shared" si="24"/>
        <v>2329000</v>
      </c>
      <c r="O60" s="183">
        <f t="shared" si="25"/>
        <v>550000</v>
      </c>
      <c r="P60" s="183">
        <f t="shared" si="26"/>
        <v>990000</v>
      </c>
      <c r="Q60" s="183">
        <f t="shared" si="27"/>
        <v>2329000</v>
      </c>
      <c r="R60" s="184">
        <f t="shared" si="27"/>
        <v>550000</v>
      </c>
    </row>
    <row r="61" spans="1:18" ht="15" customHeight="1">
      <c r="B61" s="118"/>
      <c r="C61" s="219">
        <v>51</v>
      </c>
      <c r="D61" s="127">
        <f t="shared" si="7"/>
        <v>46721</v>
      </c>
      <c r="E61" s="174">
        <f t="shared" si="2"/>
        <v>0</v>
      </c>
      <c r="F61" s="168"/>
      <c r="G61" s="169"/>
      <c r="H61" s="169"/>
      <c r="I61" s="169"/>
      <c r="J61" s="169"/>
      <c r="K61" s="192"/>
      <c r="L61" s="174">
        <f t="shared" si="22"/>
        <v>7738000</v>
      </c>
      <c r="M61" s="182">
        <f t="shared" si="23"/>
        <v>990000</v>
      </c>
      <c r="N61" s="183">
        <f t="shared" si="24"/>
        <v>2329000</v>
      </c>
      <c r="O61" s="183">
        <f t="shared" si="25"/>
        <v>550000</v>
      </c>
      <c r="P61" s="183">
        <f t="shared" si="26"/>
        <v>990000</v>
      </c>
      <c r="Q61" s="183">
        <f t="shared" si="27"/>
        <v>2329000</v>
      </c>
      <c r="R61" s="184">
        <f t="shared" si="27"/>
        <v>550000</v>
      </c>
    </row>
    <row r="62" spans="1:18" ht="15" customHeight="1">
      <c r="B62" s="118"/>
      <c r="C62" s="219">
        <v>52</v>
      </c>
      <c r="D62" s="127">
        <f t="shared" si="7"/>
        <v>46752</v>
      </c>
      <c r="E62" s="174">
        <f t="shared" si="2"/>
        <v>0</v>
      </c>
      <c r="F62" s="168"/>
      <c r="G62" s="169"/>
      <c r="H62" s="169"/>
      <c r="I62" s="169"/>
      <c r="J62" s="169"/>
      <c r="K62" s="192"/>
      <c r="L62" s="174">
        <f t="shared" si="22"/>
        <v>7738000</v>
      </c>
      <c r="M62" s="182">
        <f t="shared" si="23"/>
        <v>990000</v>
      </c>
      <c r="N62" s="183">
        <f t="shared" si="24"/>
        <v>2329000</v>
      </c>
      <c r="O62" s="183">
        <f t="shared" si="25"/>
        <v>550000</v>
      </c>
      <c r="P62" s="183">
        <f t="shared" si="26"/>
        <v>990000</v>
      </c>
      <c r="Q62" s="183">
        <f t="shared" si="27"/>
        <v>2329000</v>
      </c>
      <c r="R62" s="184">
        <f t="shared" si="27"/>
        <v>550000</v>
      </c>
    </row>
    <row r="63" spans="1:18" ht="15" customHeight="1" thickBot="1">
      <c r="B63" s="118"/>
      <c r="C63" s="217"/>
      <c r="D63" s="128"/>
      <c r="E63" s="176"/>
      <c r="F63" s="171"/>
      <c r="G63" s="172"/>
      <c r="H63" s="172"/>
      <c r="I63" s="172"/>
      <c r="J63" s="172"/>
      <c r="K63" s="193"/>
      <c r="L63" s="176"/>
      <c r="M63" s="185"/>
      <c r="N63" s="186"/>
      <c r="O63" s="186"/>
      <c r="P63" s="186"/>
      <c r="Q63" s="186"/>
      <c r="R63" s="187"/>
    </row>
    <row r="64" spans="1:18" ht="15" customHeight="1" thickBot="1">
      <c r="A64" s="129" t="s">
        <v>48</v>
      </c>
      <c r="B64" s="118"/>
      <c r="C64" s="130"/>
      <c r="D64" s="131"/>
      <c r="E64" s="132">
        <f t="shared" ref="E64:K64" si="28">SUM(E11:E63)</f>
        <v>7738000</v>
      </c>
      <c r="F64" s="133">
        <f>SUM(F11:F63)</f>
        <v>990000</v>
      </c>
      <c r="G64" s="134">
        <f t="shared" si="28"/>
        <v>2329000</v>
      </c>
      <c r="H64" s="134">
        <f t="shared" si="28"/>
        <v>550000</v>
      </c>
      <c r="I64" s="135">
        <f t="shared" si="28"/>
        <v>990000</v>
      </c>
      <c r="J64" s="138">
        <f t="shared" si="28"/>
        <v>2329000</v>
      </c>
      <c r="K64" s="136">
        <f t="shared" si="28"/>
        <v>550000</v>
      </c>
      <c r="L64" s="132">
        <f>MAX(L11:L63)</f>
        <v>7738000</v>
      </c>
      <c r="M64" s="137">
        <f>MAX(M11:M63)</f>
        <v>990000</v>
      </c>
      <c r="N64" s="134">
        <f t="shared" ref="N64:R64" si="29">MAX(N11:N63)</f>
        <v>2329000</v>
      </c>
      <c r="O64" s="134">
        <f t="shared" si="29"/>
        <v>550000</v>
      </c>
      <c r="P64" s="135">
        <f t="shared" si="29"/>
        <v>990000</v>
      </c>
      <c r="Q64" s="134">
        <f t="shared" si="29"/>
        <v>2329000</v>
      </c>
      <c r="R64" s="136">
        <f t="shared" si="29"/>
        <v>550000</v>
      </c>
    </row>
    <row r="65" spans="4:11" ht="19.5" customHeight="1"/>
    <row r="66" spans="4:11">
      <c r="D66" s="150" t="s">
        <v>72</v>
      </c>
      <c r="E66" s="149" t="str">
        <f t="shared" ref="E66" si="30">IF(SUM(E11:E63)-E64=0,"一致",SUM(E11:E63)-E64)</f>
        <v>一致</v>
      </c>
      <c r="F66" s="149" t="str">
        <f>IF(SUM(F11:F63)-F64=0,"一致",SUM(F11:F63)-F64)</f>
        <v>一致</v>
      </c>
      <c r="G66" s="149" t="str">
        <f t="shared" ref="G66:K66" si="31">IF(SUM(G11:G63)-G64=0,"一致",SUM(G11:G63)-G64)</f>
        <v>一致</v>
      </c>
      <c r="H66" s="149" t="str">
        <f t="shared" si="31"/>
        <v>一致</v>
      </c>
      <c r="I66" s="149" t="str">
        <f t="shared" si="31"/>
        <v>一致</v>
      </c>
      <c r="J66" s="149" t="str">
        <f t="shared" si="31"/>
        <v>一致</v>
      </c>
      <c r="K66" s="149" t="str">
        <f t="shared" si="31"/>
        <v>一致</v>
      </c>
    </row>
  </sheetData>
  <sheetProtection algorithmName="SHA-512" hashValue="Pc4TbRUdP6Wwg23SbdvyAA68yiBXBv4PSrVZKr7x4w+GO1bSCE/FoZUtrpRyKRMQLa9YCFc6OQ2wk5QBVhDB/A==" saltValue="fAIkSdE/7O5FFWgPmKr/Qw==" spinCount="100000" sheet="1" objects="1" scenarios="1"/>
  <mergeCells count="6">
    <mergeCell ref="L9:L10"/>
    <mergeCell ref="C8:C10"/>
    <mergeCell ref="D8:D10"/>
    <mergeCell ref="E9:E10"/>
    <mergeCell ref="E8:K8"/>
    <mergeCell ref="L8:R8"/>
  </mergeCells>
  <phoneticPr fontId="24"/>
  <dataValidations count="1">
    <dataValidation type="textLength" allowBlank="1" showInputMessage="1" showErrorMessage="1" sqref="E4:F4" xr:uid="{95E9A7A8-6652-4BA1-8D85-510732579EC1}">
      <formula1>5</formula1>
      <formula2>30</formula2>
    </dataValidation>
  </dataValidations>
  <pageMargins left="0.2" right="0.2" top="0.39370078740157483" bottom="0.39370078740157483" header="0.31496062992125984" footer="0.19685039370078741"/>
  <pageSetup paperSize="9" scale="85" orientation="portrait" r:id="rId1"/>
  <colBreaks count="1" manualBreakCount="1">
    <brk id="11" max="3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請求書Ｆ</vt:lpstr>
      <vt:lpstr>請求書Ｆ (2)</vt:lpstr>
      <vt:lpstr>支払計画</vt:lpstr>
      <vt:lpstr>支払計画!Print_Area</vt:lpstr>
      <vt:lpstr>請求書Ｆ!Print_Area</vt:lpstr>
      <vt:lpstr>'請求書Ｆ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Maruyama Kanta</dc:creator>
  <cp:lastModifiedBy>Owner</cp:lastModifiedBy>
  <cp:lastPrinted>2022-10-19T08:38:43Z</cp:lastPrinted>
  <dcterms:created xsi:type="dcterms:W3CDTF">2014-12-24T04:01:44Z</dcterms:created>
  <dcterms:modified xsi:type="dcterms:W3CDTF">2023-06-15T10:06:43Z</dcterms:modified>
</cp:coreProperties>
</file>